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356"/>
  <workbookPr codeName="ThisWorkbook" defaultThemeVersion="124226"/>
  <bookViews>
    <workbookView xWindow="-120" yWindow="-120" windowWidth="20730" windowHeight="11160" tabRatio="748"/>
  </bookViews>
  <sheets>
    <sheet name="Assumptions" sheetId="69" r:id="rId1"/>
    <sheet name="Summary" sheetId="74" r:id="rId2"/>
    <sheet name="Ideal Summary" sheetId="31" r:id="rId3"/>
    <sheet name="Ideal Case" sheetId="7" r:id="rId4"/>
    <sheet name="Mid Summary" sheetId="77" r:id="rId5"/>
    <sheet name="Mid Case" sheetId="78" r:id="rId6"/>
    <sheet name="Worse Summary" sheetId="79" r:id="rId7"/>
    <sheet name="Worse Case" sheetId="80" r:id="rId8"/>
    <sheet name="Prof and Sen USS Oct 19" sheetId="87" r:id="rId9"/>
    <sheet name="SGUL Scales USS Oct 19" sheetId="86" r:id="rId10"/>
    <sheet name="Clinical Academics Apr 19" sheetId="82" r:id="rId11"/>
    <sheet name="Consultant (Post 2004) Apr 19" sheetId="83" r:id="rId12"/>
    <sheet name="Consultant (Pre 2004) Apr 2019" sheetId="84" r:id="rId13"/>
    <sheet name="AFC Apr 19" sheetId="85" r:id="rId14"/>
    <sheet name="Module H" sheetId="40" r:id="rId15" state="hidden"/>
    <sheet name="Module I" sheetId="41" r:id="rId16" state="hidden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SNC1314" comment="">'[1]Table_B'!$C$34</definedName>
    <definedName name="A_range1" comment="">'[2]Table_A HEFCE grant letter'!$G$19</definedName>
    <definedName name="A_range2" comment="">'[2]Table_A HEFCE grant letter'!$G$26</definedName>
    <definedName name="A_RowTags" comment="">'[2]Table_A HEFCE grant letter'!$L$38</definedName>
    <definedName name="A_RowVars" comment="">'[2]Table_A HEFCE grant letter'!$L$37</definedName>
    <definedName name="ACCL_TA13" comment="">'[1]Table_C'!$H$40</definedName>
    <definedName name="bmedia" comment="">'[3]PAR'!$B$62</definedName>
    <definedName name="bmedia12" comment="">'[3]PAR'!$E$62</definedName>
    <definedName name="BOTTOM" comment="">'[1]Table_B'!$E$34</definedName>
    <definedName name="CCPAY" comment="">'[1]Table_C'!$O$40</definedName>
    <definedName name="CHARSUPP13" comment="">'[4]HEFCE grant Table_J'!$E$10</definedName>
    <definedName name="cmedia" comment="">'[3]PAR'!$C$62</definedName>
    <definedName name="cmedia12" comment="">'[3]PAR'!$F$62</definedName>
    <definedName name="COF" comment="">'[3]COF'!$D$15:$N$32</definedName>
    <definedName name="COFcoltags" comment="">'[3]COF'!$Q$1:$T$65536</definedName>
    <definedName name="COFDATA" comment="">'[3]COF'!$F$7:$F$9</definedName>
    <definedName name="COFDATATAGS" comment="">'[3]COF'!$S$7:$S$9</definedName>
    <definedName name="COFrowhide_fec" comment="">'[3]COF'!$A$15:$IV$18</definedName>
    <definedName name="COFTAGS" comment="">'[3]COF'!$Q$15:$S$32</definedName>
    <definedName name="CONT_EXTRA" comment="">'[1]Table_B'!$J$34</definedName>
    <definedName name="datavars" comment="">'[2]Table_A HEFCE grant letter'!$A$37:$K$37</definedName>
    <definedName name="datavars_A" comment="">'[2]Table_A HEFCE grant letter'!$A$37:$K$37</definedName>
    <definedName name="DENINTAR1314" comment="">'[1]Table_B'!$B$34</definedName>
    <definedName name="DISABLED" comment="">'[1]Table_C'!$E$40</definedName>
    <definedName name="DISABLED_SO" comment="">'[1]Table_H'!$X$89</definedName>
    <definedName name="DISALLOC" comment="">'[1]Table_H'!$R$89</definedName>
    <definedName name="DISFTE13" comment="">'[1]Table_H'!$U$89</definedName>
    <definedName name="DISPOP" comment="">'[1]Table_H'!$S$89</definedName>
    <definedName name="DISRATE" comment="">'[1]Table_H'!$V$89</definedName>
    <definedName name="DISW13" comment="">'[1]Table_H'!$T$89</definedName>
    <definedName name="dmedia" comment="">'[3]PAR'!$D$62</definedName>
    <definedName name="dmedia12" comment="">'[3]PAR'!$G$62</definedName>
    <definedName name="ELQTR1314" comment="">'[1]Table_C'!$R$40</definedName>
    <definedName name="ERAS_TA13" comment="">'[1]Table_C'!$L$40</definedName>
    <definedName name="exosce" comment="">#REF!</definedName>
    <definedName name="FAT" comment="" localSheetId="14">'[3]FAT'!#REF!</definedName>
    <definedName name="FAT" comment="" localSheetId="15">'[3]FAT'!#REF!</definedName>
    <definedName name="FAT" comment="">'[3]FAT'!#REF!</definedName>
    <definedName name="FATcoltags" comment="">'[3]FAT'!$H$1:$H$65536</definedName>
    <definedName name="FATrowhide_fec" comment="">'[3]FAT'!$A$8:$IV$11,'[3]FAT'!$A$24:$IV$27</definedName>
    <definedName name="FATrowtags" comment="">'[3]FAT'!$A$28:$IV$28</definedName>
    <definedName name="FATTAGS" comment="" localSheetId="14">'[3]FAT'!#REF!</definedName>
    <definedName name="FATTAGS" comment="" localSheetId="15">'[3]FAT'!#REF!</definedName>
    <definedName name="FATTAGS" comment="">'[3]FAT'!#REF!</definedName>
    <definedName name="FEC_IND" comment="">'[2]Table_A HEFCE grant letter'!$A$6</definedName>
    <definedName name="FEE" comment="">'[3]F11'!$D$9:$F$26</definedName>
    <definedName name="FEE_Print_area" comment="" localSheetId="14">#REF!</definedName>
    <definedName name="FEE_Print_area" comment="" localSheetId="15">#REF!</definedName>
    <definedName name="FEE_Print_area" comment="">#REF!</definedName>
    <definedName name="FEEcoltags" comment="">'[3]F11'!$H$1:$J$65536</definedName>
    <definedName name="FEErowhide_fec" comment="">'[3]F11'!$A$9:$IV$12</definedName>
    <definedName name="FEETAGS" comment="">'[3]F11'!$H$9:$J$26</definedName>
    <definedName name="fosce" comment="">#REF!</definedName>
    <definedName name="FT" comment="">'[1]Table_H'!$G$89</definedName>
    <definedName name="FTALLCAT" comment="">'[1]Table_H'!$F$89</definedName>
    <definedName name="FTMCAT1" comment="">'[1]Table_H'!$C$89</definedName>
    <definedName name="FTMCAT2" comment="">'[1]Table_H'!$D$89</definedName>
    <definedName name="FTWGT" comment="">'[1]Table_H'!$E$89</definedName>
    <definedName name="FTYCAT1" comment="">'[1]Table_H'!$A$89</definedName>
    <definedName name="FTYCAT2" comment="">'[1]Table_H'!$B$89</definedName>
    <definedName name="GRANT13" comment="">'[5]Table_A HEFCE grant letter'!$J$38</definedName>
    <definedName name="GRANTC13" comment="">'[5]Table_A HEFCE grant letter'!$B$38</definedName>
    <definedName name="GRANTM13" comment="">'[5]Table_A HEFCE grant letter'!$A$38</definedName>
    <definedName name="hefce" comment="">#REF!</definedName>
    <definedName name="hefcey1" comment="">#REF!</definedName>
    <definedName name="hefcey2" comment="">#REF!</definedName>
    <definedName name="hefcey3" comment="">#REF!</definedName>
    <definedName name="hefcey4" comment="">#REF!</definedName>
    <definedName name="hefcey5" comment="">#REF!</definedName>
    <definedName name="hefcey6" comment="">#REF!</definedName>
    <definedName name="HEIF13" comment="">'[5]Table_A HEFCE grant letter'!$I$38</definedName>
    <definedName name="HESAINST" comment="">'[2]Table_A HEFCE grant letter'!$A$4</definedName>
    <definedName name="HIGHCOST13" comment="">'[5]Table_A HEFCE grant letter'!$C$38</definedName>
    <definedName name="hrlylec" comment="">#REF!</definedName>
    <definedName name="HTML_CodePage" comment="" hidden="1">1252</definedName>
    <definedName name="HTML_Control" comment="" localSheetId="8" hidden="1">{"'NHS Cler Apr01'!$A$3:$L$52"}</definedName>
    <definedName name="HTML_Control" comment="" localSheetId="9" hidden="1">{"'NHS Cler Apr01'!$A$3:$L$52"}</definedName>
    <definedName name="HTML_Control" comment="" hidden="1">{"'NHS Cler Apr01'!$A$3:$L$52"}</definedName>
    <definedName name="HTML_Description" comment="" hidden="1">""</definedName>
    <definedName name="HTML_Email" comment="" hidden="1">""</definedName>
    <definedName name="HTML_Header" comment="" hidden="1">""</definedName>
    <definedName name="HTML_LastUpdate" comment="" hidden="1">"17/09/99"</definedName>
    <definedName name="HTML_LineAfter" comment="" hidden="1">FALSE</definedName>
    <definedName name="HTML_LineBefore" comment="" hidden="1">FALSE</definedName>
    <definedName name="HTML_Name" comment="" hidden="1">"Robert Gledhill"</definedName>
    <definedName name="HTML_OBDlg2" comment="" hidden="1">FALSE</definedName>
    <definedName name="HTML_OBDlg3" comment="" hidden="1">TRUE</definedName>
    <definedName name="HTML_OBDlg4" comment="" hidden="1">TRUE</definedName>
    <definedName name="HTML_OS" comment="" hidden="1">0</definedName>
    <definedName name="HTML_PathFile" comment="" hidden="1">"M:\Salaries\Chris - 2001 Copies\Working\costNHSpsych2k1.htm"</definedName>
    <definedName name="HTML_PathTemplate" comment="" hidden="1">"M:\Salaries\Chris - 2001 Copies\Working\template.htm"</definedName>
    <definedName name="HTML_Title" comment="" hidden="1">"1999 Employer Costing Sheets"</definedName>
    <definedName name="INDSUPP13" comment="">'[4]HEFCE grant Table_J'!$E$11</definedName>
    <definedName name="INT_TA13" comment="">'[1]Table_C'!$I$40</definedName>
    <definedName name="IR_FT_13" comment="">'[1]Table_H'!$AJ$89</definedName>
    <definedName name="IR_FT_Rate" comment="">'[1]Table_H'!$AI$89</definedName>
    <definedName name="IR_FTS" comment="">'[1]Table_C'!$C$40</definedName>
    <definedName name="IR_PT" comment="">'[1]Table_C'!$D$40</definedName>
    <definedName name="IR_PT_13" comment="">'[1]Table_H'!$AL$89</definedName>
    <definedName name="IR_PT_Rate" comment="">'[1]Table_H'!$AK$89</definedName>
    <definedName name="ITEMNAME" comment="">'[2]Table_A HEFCE grant letter'!$A$3</definedName>
    <definedName name="LECALLN13" comment="">'[4]HEFCE grant Table_J'!$E$9</definedName>
    <definedName name="lecmul" comment="">#REF!</definedName>
    <definedName name="LOND_TA13" comment="">'[1]Table_C'!$M$40</definedName>
    <definedName name="london11" comment="">'[3]PAR'!$H$62</definedName>
    <definedName name="london12h" comment="">'[3]PAR'!$I$62</definedName>
    <definedName name="london12wp" comment="">'[3]PAR'!$J$62</definedName>
    <definedName name="LONDON13WP" comment="">'[1]Table_I'!$A$44</definedName>
    <definedName name="LonWgt" comment="">'[1]Table_H'!$H$89</definedName>
    <definedName name="MEDINTAR1314" comment="">'[1]Table_B'!$A$34</definedName>
    <definedName name="MFHFTE" comment="">'[1]Table_H'!$AB$89</definedName>
    <definedName name="MFMFTE" comment="">'[1]Table_H'!$AA$89</definedName>
    <definedName name="mfty1" comment="">#REF!</definedName>
    <definedName name="mfty2" comment="">#REF!</definedName>
    <definedName name="mfty3" comment="">#REF!</definedName>
    <definedName name="mfty4" comment="">#REF!</definedName>
    <definedName name="mfty5" comment="">#REF!</definedName>
    <definedName name="mfty6" comment="">#REF!</definedName>
    <definedName name="Min" comment="">'[1]Table_H'!$W$89</definedName>
    <definedName name="MOHFTE" comment="">'[1]Table_H'!$AF$89</definedName>
    <definedName name="MOMFTE" comment="">'[1]Table_H'!$AE$89</definedName>
    <definedName name="neosce" comment="">#REF!</definedName>
    <definedName name="NEW" comment="">'[3]NEW'!$D$9:$I$26</definedName>
    <definedName name="NEWcolhide" comment="">'[3]NEW'!$F$1:$F$65536</definedName>
    <definedName name="NEWcolhide_hei" comment="">'[3]NEW'!$E$1:$E$65536</definedName>
    <definedName name="NEWcoltags" comment="">'[3]NEW'!$K$1:$M$65536</definedName>
    <definedName name="NEWrowhide_fec" comment="">'[3]NEW'!$A$9:$IV$12</definedName>
    <definedName name="NEWTAGS" comment="">'[3]NEW'!$K$9:$M$26</definedName>
    <definedName name="NHSPENS" comment="">'[1]Table_C'!$Q$40</definedName>
    <definedName name="OFFSET1112" comment="">'[1]Table_B'!$K$34</definedName>
    <definedName name="OFFSET1213" comment="">'[1]Table_B'!$H$34</definedName>
    <definedName name="OLD" comment="">'[3]OLD'!$D$10:$N$27</definedName>
    <definedName name="OLDcoltags" comment="">'[3]OLD'!$Q$1:$S$65536</definedName>
    <definedName name="OLDrowhide_fec" comment="">'[3]OLD'!$A$10:$IV$13</definedName>
    <definedName name="OLDTAGS" comment="">'[3]OLD'!$Q$10:$S$27</definedName>
    <definedName name="OTARGET_TAS" comment="">'[1]Table_C'!$N$40</definedName>
    <definedName name="OTARGET13" comment="">'[5]Table_A HEFCE grant letter'!$E$38</definedName>
    <definedName name="OTHERT13" comment="">'[5]Table_A HEFCE grant letter'!$F$38</definedName>
    <definedName name="OTHERT13_TAS" comment="">'[1]Table_C'!$S$40</definedName>
    <definedName name="othmul" comment="">#REF!</definedName>
    <definedName name="OUNI_TA13" comment="" localSheetId="14">'[1]Table_C'!#REF!</definedName>
    <definedName name="OUNI_TA13" comment="" localSheetId="15">'[1]Table_C'!#REF!</definedName>
    <definedName name="OUNI_TA13" comment="">'[1]Table_C'!#REF!</definedName>
    <definedName name="PAR_MEDIA_HIDE" comment="">'[3]PAR'!$A$45:$IV$49</definedName>
    <definedName name="PARrowtags" comment="">'[3]PAR'!$A$66:$IV$68</definedName>
    <definedName name="payinf" comment="">#REF!</definedName>
    <definedName name="pbl" comment="">#REF!</definedName>
    <definedName name="PERC_CONT" comment="">'[1]Table_B'!$G$34</definedName>
    <definedName name="PGRALLN13" comment="">'[4]HEFCE grant Table_J'!$E$12</definedName>
    <definedName name="PGRALLN13_FAT" comment="">'[1]Table_B'!$O$34</definedName>
    <definedName name="Posts" comment="" localSheetId="14">#REF!</definedName>
    <definedName name="Posts" comment="" localSheetId="15">#REF!</definedName>
    <definedName name="Posts" comment="">#REF!</definedName>
    <definedName name="_xlnm.Print_Area" comment="" localSheetId="0">Assumptions!$A$1:$P$43</definedName>
    <definedName name="_xlnm.Print_Area" comment="" localSheetId="3">'Ideal Case'!$A$1:$P$100</definedName>
    <definedName name="_xlnm.Print_Area" comment="" localSheetId="2">'Ideal Summary'!$A$1:$J$60</definedName>
    <definedName name="_xlnm.Print_Area" comment="" localSheetId="5">'Mid Case'!$A$1:$P$100</definedName>
    <definedName name="_xlnm.Print_Area" comment="" localSheetId="4">'Mid Summary'!$A$1:$J$60</definedName>
    <definedName name="_xlnm.Print_Area" comment="" localSheetId="1">Summary!$A$1:$H$37</definedName>
    <definedName name="_xlnm.Print_Area" comment="" localSheetId="7">'Worse Case'!$A$1:$P$100</definedName>
    <definedName name="_xlnm.Print_Area" comment="" localSheetId="6">'Worse Summary'!$A$1:$J$60</definedName>
    <definedName name="_xlnm.Print_Titles" comment="">'[3]R_'!$A$20:$IV$21</definedName>
    <definedName name="PT" comment="">'[1]Table_H'!$O$89</definedName>
    <definedName name="PT_TA13" comment="">'[1]Table_C'!$G$40</definedName>
    <definedName name="PTCAT1" comment="">'[1]Table_H'!$K$89</definedName>
    <definedName name="PTCAT2" comment="">'[1]Table_H'!$L$89</definedName>
    <definedName name="ptlprem" comment="">'[3]PAR'!$K$62</definedName>
    <definedName name="PTUWgt" comment="">'[1]Table_H'!$N$89</definedName>
    <definedName name="PTWGT" comment="">'[1]Table_H'!$M$89</definedName>
    <definedName name="R_coltags" comment="">'[3]R_'!$Y$1:$Y$65536</definedName>
    <definedName name="R_SUM" comment="">'[3]R_'!$E$8:$E$14</definedName>
    <definedName name="R_SUMTAGS" comment="">'[3]R_'!$Y$8:$Y$14</definedName>
    <definedName name="R_TOT13" comment="">'[5]Table_A HEFCE grant letter'!$H$38</definedName>
    <definedName name="RATE_A" comment="">'[1]Table_I'!$B$44</definedName>
    <definedName name="RATE_B" comment="">'[1]Table_I'!$C$44</definedName>
    <definedName name="RATE_C" comment="">'[1]Table_I'!$D$44</definedName>
    <definedName name="RATE_D" comment="">'[1]Table_I'!$E$44</definedName>
    <definedName name="RDP" comment="">'[3]RDP'!$A$13:$P$14</definedName>
    <definedName name="resmark" comment="">#REF!</definedName>
    <definedName name="resmul" comment="">#REF!</definedName>
    <definedName name="S_OPP13" comment="">'[5]Table_A HEFCE grant letter'!$D$38</definedName>
    <definedName name="S_OPP13_TAS" comment="">'[1]Table_C'!$F$40</definedName>
    <definedName name="SAGP" comment="">'[1]Table_C'!$P$40</definedName>
    <definedName name="SCI_TA13" comment="">'[1]Table_C'!$K$40</definedName>
    <definedName name="SCI_TA13_FAT" comment="">'[1]Table_B'!$N$34</definedName>
    <definedName name="senlec" comment="">#REF!</definedName>
    <definedName name="SF" comment="" localSheetId="14">'[5]Table_A HEFCE grant letter'!#REF!</definedName>
    <definedName name="SF" comment="" localSheetId="15">'[5]Table_A HEFCE grant letter'!#REF!</definedName>
    <definedName name="SF" comment="">'[5]Table_A HEFCE grant letter'!#REF!</definedName>
    <definedName name="SF_LWI" comment="" localSheetId="14">'[5]Table_A HEFCE grant letter'!#REF!</definedName>
    <definedName name="SF_LWI" comment="" localSheetId="15">'[5]Table_A HEFCE grant letter'!#REF!</definedName>
    <definedName name="SF_LWI" comment="">'[5]Table_A HEFCE grant letter'!#REF!</definedName>
    <definedName name="SF_MG" comment="">'[5]Table_A HEFCE grant letter'!$K$38</definedName>
    <definedName name="SIS_TA13" comment="">'[1]Table_C'!$J$40</definedName>
    <definedName name="sosce" comment="">#REF!</definedName>
    <definedName name="sportb" comment="">'[3]PAR'!$L$62</definedName>
    <definedName name="sportc" comment="">'[3]PAR'!$M$62</definedName>
    <definedName name="sportd" comment="">'[3]PAR'!$N$62</definedName>
    <definedName name="STD" comment="">'[3]STD'!$E$9:$R$44</definedName>
    <definedName name="STD_Print_area" comment="" localSheetId="14">#REF!</definedName>
    <definedName name="STD_Print_area" comment="" localSheetId="15">#REF!</definedName>
    <definedName name="STD_Print_area" comment="">#REF!</definedName>
    <definedName name="STDcolhide" comment="">'[3]STD'!$F$1:$F$65536,'[3]STD'!$M$1:$M$65536</definedName>
    <definedName name="STDcoltags" comment="">'[3]STD'!$T$1:$W$65536</definedName>
    <definedName name="STDrowhide_fec" comment="">'[3]STD'!$A$9:$IV$12,'[3]STD'!$A$13:$IV$16</definedName>
    <definedName name="STDTAGS" comment="">'[3]STD'!$T$9:$W$44</definedName>
    <definedName name="STEM11" comment="" localSheetId="14">'[3]FAT'!#REF!</definedName>
    <definedName name="STEM11" comment="" localSheetId="15">'[3]FAT'!#REF!</definedName>
    <definedName name="STEM11" comment="">'[3]FAT'!#REF!</definedName>
    <definedName name="STU" comment="">'[3]STU'!$E$9:$K$44</definedName>
    <definedName name="STUcolhide" comment="">'[3]STU'!$F$1:$F$65536,'[3]STU'!$J$1:$J$65536</definedName>
    <definedName name="STUcoltags" comment="">'[3]STU'!$M$1:$P$65536</definedName>
    <definedName name="STUrowhide_fec" comment="">'[3]STU'!$A$9:$IV$16</definedName>
    <definedName name="STUTAGS" comment="">'[3]STU'!$M$9:$P$44</definedName>
    <definedName name="T_NEWcolhide" comment="">'[3]T_NEW'!$F$1:$F$65536</definedName>
    <definedName name="T_NEWcolhide_hei" comment="">'[3]T_NEW'!$E$1:$E$65536</definedName>
    <definedName name="T_NEWrowhide_fec" comment="">'[3]T_NEW'!$A$9:$IV$12</definedName>
    <definedName name="T_TOT13" comment="">'[5]Table_A HEFCE grant letter'!$G$38</definedName>
    <definedName name="TABLE_R1" comment="">'[3]R_'!$A$22:$W$23</definedName>
    <definedName name="TABLE_R1a" comment="">'[3]R_'!$A$22:$U$23</definedName>
    <definedName name="TABLE_R1b" comment="">'[3]R_'!$V$22:$W$23</definedName>
    <definedName name="TableAHideRows" comment="">'[2]Table_A HEFCE grant letter'!$G$19:$G$26</definedName>
    <definedName name="TAS" comment="">'[3]TAS'!$C$11:$C$43</definedName>
    <definedName name="TAScoltags" comment="">'[3]TAS'!$E$1:$E$65536</definedName>
    <definedName name="TASrowhide_fec" comment="">'[3]TAS'!$A$24:$IV$24,'[3]TAS'!$A$35:$IV$37,'[3]TAS'!$A$26:$IV$26,'[3]TAS'!$A$30:$IV$30</definedName>
    <definedName name="TASTAGS" comment="">'[3]TAS'!$E$11:$E$43</definedName>
    <definedName name="TES" comment="">'[3]TES'!$B$11:$B$34</definedName>
    <definedName name="TES_Print_Area" comment="" localSheetId="14">#REF!</definedName>
    <definedName name="TES_Print_Area" comment="" localSheetId="15">#REF!</definedName>
    <definedName name="TES_Print_Area" comment="">#REF!</definedName>
    <definedName name="TEScoltags" comment="">'[3]TES'!$K$1:$K$65536</definedName>
    <definedName name="TESTAGS" comment="">'[3]TES'!$K$11:$K$34</definedName>
    <definedName name="TOP" comment="">'[1]Table_B'!$D$34</definedName>
    <definedName name="TOT" comment="">'[3]TOT'!$E$11:$E$33</definedName>
    <definedName name="TOT_print_area" comment="">'[2]Table_A HEFCE grant letter'!$A$1:$G$30</definedName>
    <definedName name="TOTcoltags" comment="">'[3]TOT'!$H$1:$H$65536</definedName>
    <definedName name="TOTEXCES11" comment="">'[1]Table_B'!$I$34</definedName>
    <definedName name="TOTEXCES12" comment="">'[1]Table_B'!$F$34</definedName>
    <definedName name="TOTrowhide_fec" comment="">'[3]TOT'!$A$20:$IV$22,'[3]TOT'!$A$27:$IV$29</definedName>
    <definedName name="TOTTAGS" comment="">'[3]TOT'!$H$11:$H$33</definedName>
    <definedName name="TRADQR13" comment="">'[4]HEFCE grant Table_J'!$E$8</definedName>
    <definedName name="tutmul" comment="">#REF!</definedName>
    <definedName name="ukprn" comment="">'[2]Table_A HEFCE grant letter'!$A$5</definedName>
    <definedName name="UnWgt" comment="">'[1]Table_H'!$AH$89</definedName>
    <definedName name="WA_FT_13" comment="">'[1]Table_H'!$J$89</definedName>
    <definedName name="WA_FT_Rate" comment="">'[1]Table_H'!$I$89</definedName>
    <definedName name="WA_FTS" comment="">'[1]Table_C'!$A$40</definedName>
    <definedName name="WA_PT" comment="">'[1]Table_C'!$B$40</definedName>
    <definedName name="WA_PT_13" comment="">'[1]Table_H'!$Q$89</definedName>
    <definedName name="WA_PT_Rate" comment="">'[1]Table_H'!$P$89</definedName>
    <definedName name="WGTFTE" comment="">'[1]Table_H'!$AG$89</definedName>
    <definedName name="WP_" comment="">'[3]WP_'!$B$11:$B$55</definedName>
    <definedName name="WP_coltags" comment="">'[3]WP_'!$I$1:$K$65536</definedName>
    <definedName name="WP_TAGS" comment="">'[3]WP_'!$K$11:$K$55</definedName>
    <definedName name="YFHFTE" comment="">'[1]Table_H'!$Z$89</definedName>
    <definedName name="YFMFTE" comment="">'[1]Table_H'!$Y$89</definedName>
    <definedName name="YOHFTE" comment="">'[1]Table_H'!$AD$89</definedName>
    <definedName name="YOMFTE" comment="">'[1]Table_H'!$AC$89</definedName>
  </definedNames>
  <calcPr fullPrecision="1" calcId="191029"/>
</workbook>
</file>

<file path=xl/sharedStrings.xml><?xml version="1.0" encoding="utf-8"?>
<sst xmlns="http://schemas.openxmlformats.org/spreadsheetml/2006/main" uniqueCount="316" count="1302">
  <si>
    <t>Module Name / Description</t>
  </si>
  <si>
    <t>Consumables</t>
  </si>
  <si>
    <t>Other (please specify)</t>
  </si>
  <si>
    <t>£</t>
  </si>
  <si>
    <t>Module Costing Data   (from Module Lead)</t>
  </si>
  <si>
    <r>
      <t>Lectures</t>
    </r>
    <r>
      <rPr>
        <sz val="11"/>
        <color theme="1"/>
        <rFont val="Calibri"/>
        <family val="2"/>
        <charset val="0"/>
        <scheme val="minor"/>
      </rPr>
      <t xml:space="preserve">                     (contact hours)</t>
    </r>
  </si>
  <si>
    <r>
      <t>Other</t>
    </r>
    <r>
      <rPr>
        <sz val="11"/>
        <color theme="1"/>
        <rFont val="Calibri"/>
        <family val="2"/>
        <charset val="0"/>
        <scheme val="minor"/>
      </rPr>
      <t xml:space="preserve">               (contact hours)</t>
    </r>
  </si>
  <si>
    <t>Non-staff Costs, Fixed*</t>
  </si>
  <si>
    <t>Non-staff Costs, Variable* (per student)</t>
  </si>
  <si>
    <t>% FTE</t>
  </si>
  <si>
    <t>(excluding contributions to module detailed below)</t>
  </si>
  <si>
    <t>Staff Costs, Variable* (per student)</t>
  </si>
  <si>
    <t>*Refers to point of clarification in Notes tab</t>
  </si>
  <si>
    <t>Staff Costs, Fixed* (Module Lead)</t>
  </si>
  <si>
    <t>Staff Costs, Fixed* (Module delivery by named staff members)</t>
  </si>
  <si>
    <t>Demonstrator</t>
  </si>
  <si>
    <t>Actor / Simulated patient fee</t>
  </si>
  <si>
    <r>
      <t>Printing</t>
    </r>
    <r>
      <rPr>
        <i/>
        <sz val="9"/>
        <color theme="1"/>
        <rFont val="Calibri"/>
        <family val="2"/>
        <charset val="0"/>
        <scheme val="minor"/>
      </rPr>
      <t xml:space="preserve">   (excludes printing costs assigned to Registry, captured in course overheads)</t>
    </r>
  </si>
  <si>
    <t>Marking* -                                 Exam Scripts</t>
  </si>
  <si>
    <t>Marking* -                                 Assignments*</t>
  </si>
  <si>
    <t>Marking* -                                 Dissertations*</t>
  </si>
  <si>
    <t>Marking* -                                 Other</t>
  </si>
  <si>
    <t>Marking* -                                 Portfolio</t>
  </si>
  <si>
    <t>(hours)</t>
  </si>
  <si>
    <r>
      <t>Tutorials</t>
    </r>
    <r>
      <rPr>
        <sz val="11"/>
        <color theme="1"/>
        <rFont val="Calibri"/>
        <family val="2"/>
        <charset val="0"/>
        <scheme val="minor"/>
      </rPr>
      <t xml:space="preserve">                    (contact hours)</t>
    </r>
  </si>
  <si>
    <t>% FTE*</t>
  </si>
  <si>
    <t>Course Name / Description</t>
  </si>
  <si>
    <t>Estimated total number of students on module</t>
  </si>
  <si>
    <t>Overseas</t>
  </si>
  <si>
    <t>Weighted hours</t>
  </si>
  <si>
    <t>Sen Lec 1</t>
  </si>
  <si>
    <t>Sen Lec 2</t>
  </si>
  <si>
    <t>Income</t>
  </si>
  <si>
    <t>Tuition Fee Income</t>
  </si>
  <si>
    <t>Other</t>
  </si>
  <si>
    <t>Total Income</t>
  </si>
  <si>
    <t>Tuition fees - overseas</t>
  </si>
  <si>
    <t>Direct costs</t>
  </si>
  <si>
    <t>Staff costs (fixed)</t>
  </si>
  <si>
    <t>Non-staff costs (fixed)</t>
  </si>
  <si>
    <t>Non-staff costs (variable)</t>
  </si>
  <si>
    <t>Total direct costs</t>
  </si>
  <si>
    <t>Costs</t>
  </si>
  <si>
    <t>FTE</t>
  </si>
  <si>
    <t>Total hours</t>
  </si>
  <si>
    <t>(per student)</t>
  </si>
  <si>
    <t>Student FTE</t>
  </si>
  <si>
    <t>Direct cost/student FTE</t>
  </si>
  <si>
    <t>Tuition fees - home &amp; EU</t>
  </si>
  <si>
    <t>ST GEORGE'S, UNIVERSITY OF LONDON</t>
  </si>
  <si>
    <t>SENSITIVITY ANALYSIS</t>
  </si>
  <si>
    <t>Breakeven</t>
  </si>
  <si>
    <t>Financial Projections</t>
  </si>
  <si>
    <t>MODELLING IMPACT ON BASE CASE ABOVE OF CHANGING KEY ASSUMPTIONS</t>
  </si>
  <si>
    <t>Module H</t>
  </si>
  <si>
    <t>Module I</t>
  </si>
  <si>
    <t>(excluding contributions to modules detailed below)</t>
  </si>
  <si>
    <t>PGDip FT - intake to year 1</t>
  </si>
  <si>
    <t>Marginal net income for each additional home/eu student recruited</t>
  </si>
  <si>
    <t>Home &amp; EU</t>
  </si>
  <si>
    <t>Media Services charges</t>
  </si>
  <si>
    <r>
      <t xml:space="preserve">Total </t>
    </r>
    <r>
      <rPr>
        <b/>
        <i/>
        <sz val="11"/>
        <color theme="4" tint="-0.249977111117893"/>
        <rFont val="Calibri"/>
        <family val="2"/>
        <charset val="0"/>
        <scheme val="minor"/>
      </rPr>
      <t>FTE</t>
    </r>
    <r>
      <rPr>
        <i/>
        <sz val="11"/>
        <color theme="4" tint="-0.249977111117893"/>
        <rFont val="Calibri"/>
        <family val="2"/>
        <charset val="0"/>
        <scheme val="minor"/>
      </rPr>
      <t xml:space="preserve"> for course - home &amp; EU FT</t>
    </r>
  </si>
  <si>
    <r>
      <t xml:space="preserve">Total </t>
    </r>
    <r>
      <rPr>
        <b/>
        <i/>
        <sz val="11"/>
        <color theme="4" tint="-0.249977111117893"/>
        <rFont val="Calibri"/>
        <family val="2"/>
        <charset val="0"/>
        <scheme val="minor"/>
      </rPr>
      <t>FTE</t>
    </r>
    <r>
      <rPr>
        <i/>
        <sz val="11"/>
        <color theme="4" tint="-0.249977111117893"/>
        <rFont val="Calibri"/>
        <family val="2"/>
        <charset val="0"/>
        <scheme val="minor"/>
      </rPr>
      <t xml:space="preserve"> for course - overseasFT</t>
    </r>
  </si>
  <si>
    <r>
      <t xml:space="preserve">Total </t>
    </r>
    <r>
      <rPr>
        <b/>
        <i/>
        <sz val="11"/>
        <color theme="4" tint="-0.249977111117893"/>
        <rFont val="Calibri"/>
        <family val="2"/>
        <charset val="0"/>
        <scheme val="minor"/>
      </rPr>
      <t>FTE</t>
    </r>
    <r>
      <rPr>
        <i/>
        <sz val="11"/>
        <color theme="4" tint="-0.249977111117893"/>
        <rFont val="Calibri"/>
        <family val="2"/>
        <charset val="0"/>
        <scheme val="minor"/>
      </rPr>
      <t xml:space="preserve"> for course - home &amp; EU PT</t>
    </r>
  </si>
  <si>
    <t>2019/20</t>
  </si>
  <si>
    <t>2021/22</t>
  </si>
  <si>
    <t>MSc FT</t>
  </si>
  <si>
    <t>MSc PT 2 years</t>
  </si>
  <si>
    <t>PGDip FT</t>
  </si>
  <si>
    <t>Scholarships</t>
  </si>
  <si>
    <t>PGCert</t>
  </si>
  <si>
    <t>PgCert - intake to year 1</t>
  </si>
  <si>
    <t>Marginal net income for each additional overseas student recruited</t>
  </si>
  <si>
    <t>Change in home/eu students to reach breakeven</t>
  </si>
  <si>
    <t>Change in overseas students to reach breakeven</t>
  </si>
  <si>
    <t>Modular - Overseas</t>
  </si>
  <si>
    <t>Overseas (MSc)</t>
  </si>
  <si>
    <t>Overseas (PGDip)</t>
  </si>
  <si>
    <t>Overseas (PGCert)</t>
  </si>
  <si>
    <t>2020/21</t>
  </si>
  <si>
    <t>Project Consumables</t>
  </si>
  <si>
    <t xml:space="preserve">Overseas - MSc FT </t>
  </si>
  <si>
    <t>Overseas - MSc PT - intake to year 1</t>
  </si>
  <si>
    <t>Overseas - MSc PT - continuing to year 2</t>
  </si>
  <si>
    <t>Overseas PG Dip FT</t>
  </si>
  <si>
    <t>1)</t>
  </si>
  <si>
    <t>2)</t>
  </si>
  <si>
    <t>3)</t>
  </si>
  <si>
    <t xml:space="preserve">Assumptions </t>
  </si>
  <si>
    <t>4)</t>
  </si>
  <si>
    <t>5)</t>
  </si>
  <si>
    <t>7)</t>
  </si>
  <si>
    <t>8)</t>
  </si>
  <si>
    <t>Externals travel costs</t>
  </si>
  <si>
    <t>Overseas PG Cert FT</t>
  </si>
  <si>
    <t xml:space="preserve">Overseas PG Dip FT </t>
  </si>
  <si>
    <t>2022/23</t>
  </si>
  <si>
    <t>Alumni discount at 10%</t>
  </si>
  <si>
    <t>Marginal Cost Approach</t>
  </si>
  <si>
    <t>INCOME</t>
  </si>
  <si>
    <t>Course Costing Schedule</t>
  </si>
  <si>
    <t>PAY</t>
  </si>
  <si>
    <t>Pay Costs - Fixed</t>
  </si>
  <si>
    <t>NON PAY</t>
  </si>
  <si>
    <t>Non-Pay Costs Fixed</t>
  </si>
  <si>
    <t>Non-Pay Costs - Variable</t>
  </si>
  <si>
    <t>TOTAL INCOME</t>
  </si>
  <si>
    <t>TOTAL COSTS</t>
  </si>
  <si>
    <t>CONTRIBUTION</t>
  </si>
  <si>
    <t>Contribution</t>
  </si>
  <si>
    <t>Non capital equipment</t>
  </si>
  <si>
    <t>Mid</t>
  </si>
  <si>
    <t>Contibution as % of income</t>
  </si>
  <si>
    <t>Ideal</t>
  </si>
  <si>
    <t>Worse</t>
  </si>
  <si>
    <t>Fixed Costs</t>
  </si>
  <si>
    <t>Variable Costs</t>
  </si>
  <si>
    <t>Total Costs</t>
  </si>
  <si>
    <t>Student travel costs (visits to industry)</t>
  </si>
  <si>
    <t>MRES FT</t>
  </si>
  <si>
    <t>MSc PT - Yr1</t>
  </si>
  <si>
    <t>MSc PT - continuing to Yr2</t>
  </si>
  <si>
    <t>Modules</t>
  </si>
  <si>
    <t>Overseas Modules</t>
  </si>
  <si>
    <t>Estimated student headcount</t>
  </si>
  <si>
    <t>Estimated student FTEs</t>
  </si>
  <si>
    <t>Overseas MRES</t>
  </si>
  <si>
    <t>Overseas (MRES)</t>
  </si>
  <si>
    <t>6)</t>
  </si>
  <si>
    <t>TOTAL student FTE</t>
  </si>
  <si>
    <t>TOTAL student headcount</t>
  </si>
  <si>
    <t>Total student FTE</t>
  </si>
  <si>
    <t>Income per Home/EU student FTE</t>
  </si>
  <si>
    <t>Income per International student FTE</t>
  </si>
  <si>
    <t>Variable cost/student FTE</t>
  </si>
  <si>
    <t>Additional/(reduced) home/eu students to reach breakeven point</t>
  </si>
  <si>
    <t>Additional/(reduced) overseas students to reach breakeven point</t>
  </si>
  <si>
    <t>Student headcount - Ideal case recruitment</t>
  </si>
  <si>
    <t>9)</t>
  </si>
  <si>
    <t>Summary of Contribution for Ideal/Mid/Worse Recruitment Scenarios</t>
  </si>
  <si>
    <t>2023/24</t>
  </si>
  <si>
    <r>
      <t xml:space="preserve">Ideal </t>
    </r>
    <r>
      <rPr>
        <sz val="11"/>
        <rFont val="Calibri"/>
        <family val="2"/>
        <charset val="0"/>
        <scheme val="minor"/>
      </rPr>
      <t>- xx students with xx% O/s</t>
    </r>
  </si>
  <si>
    <r>
      <t/>
    </r>
    <r>
      <rPr>
        <b/>
        <sz val="11"/>
        <color rgb="FFFF0000"/>
        <rFont val="Calibri"/>
        <family val="2"/>
        <charset val="0"/>
        <scheme val="minor"/>
      </rPr>
      <t>Worse</t>
    </r>
    <r>
      <rPr>
        <sz val="11"/>
        <color theme="1"/>
        <rFont val="Calibri"/>
        <family val="2"/>
        <charset val="0"/>
        <scheme val="minor"/>
      </rPr>
      <t xml:space="preserve"> - xx students with xx% O/s</t>
    </r>
  </si>
  <si>
    <r>
      <t/>
    </r>
    <r>
      <rPr>
        <b/>
        <sz val="11"/>
        <color rgb="FFFFC000"/>
        <rFont val="Calibri"/>
        <family val="2"/>
        <charset val="0"/>
        <scheme val="minor"/>
      </rPr>
      <t>Mid</t>
    </r>
    <r>
      <rPr>
        <sz val="11"/>
        <color theme="1"/>
        <rFont val="Calibri"/>
        <family val="2"/>
        <charset val="0"/>
        <scheme val="minor"/>
      </rPr>
      <t xml:space="preserve"> - xx students with xx% O/s</t>
    </r>
  </si>
  <si>
    <t>2018/19</t>
  </si>
  <si>
    <t>Consumables @ £500 anticipating 20% do lab feasibilities</t>
  </si>
  <si>
    <t>Admissions administration</t>
  </si>
  <si>
    <t>CANVAS and Library (Grade 6)</t>
  </si>
  <si>
    <t xml:space="preserve">Administrator </t>
  </si>
  <si>
    <t xml:space="preserve">OfS Teaching grant </t>
  </si>
  <si>
    <t>OfS T grant</t>
  </si>
  <si>
    <t>Fees (20/21)</t>
  </si>
  <si>
    <t>2024/25</t>
  </si>
  <si>
    <t>OfS T Income (one year delay in receiving funding)</t>
  </si>
  <si>
    <t>Course Director</t>
  </si>
  <si>
    <t>e-learning input</t>
  </si>
  <si>
    <t>posts listed are for guidance, neither compulsory nor exhaustive</t>
  </si>
  <si>
    <t>Senior Lecturer</t>
  </si>
  <si>
    <t>Lecturer</t>
  </si>
  <si>
    <t>Teaching Fellow</t>
  </si>
  <si>
    <t>Notes</t>
  </si>
  <si>
    <t>Grade</t>
  </si>
  <si>
    <t>costs listed are for guidance,not an exhaustive list</t>
  </si>
  <si>
    <t>Marketing/advertising</t>
  </si>
  <si>
    <t>Name of Course</t>
  </si>
  <si>
    <t>Additional english language support</t>
  </si>
  <si>
    <t>additional SU support</t>
  </si>
  <si>
    <t>USS Pension:</t>
  </si>
  <si>
    <t>LEL</t>
  </si>
  <si>
    <t>Employer's Contr.</t>
  </si>
  <si>
    <t>UEL</t>
  </si>
  <si>
    <t>PT</t>
  </si>
  <si>
    <t>LEL to ST</t>
  </si>
  <si>
    <t>SAUL Pension:</t>
  </si>
  <si>
    <t>ST</t>
  </si>
  <si>
    <t>and above</t>
  </si>
  <si>
    <t>UAP</t>
  </si>
  <si>
    <t>above</t>
  </si>
  <si>
    <t>Band</t>
  </si>
  <si>
    <t>Scale Point</t>
  </si>
  <si>
    <t>Basic Salary</t>
  </si>
  <si>
    <t>London Allowance</t>
  </si>
  <si>
    <t>Sub Total</t>
  </si>
  <si>
    <t>Employer's Costs</t>
  </si>
  <si>
    <t>Total Cost per Annum</t>
  </si>
  <si>
    <t>Total Cost per Month</t>
  </si>
  <si>
    <t>Total Cost per Day</t>
  </si>
  <si>
    <t>Total Cost per Week</t>
  </si>
  <si>
    <t>Total Cost per Hour</t>
  </si>
  <si>
    <t>Superann</t>
  </si>
  <si>
    <t>N.I.</t>
  </si>
  <si>
    <t>Levy</t>
  </si>
  <si>
    <t>8 disc</t>
  </si>
  <si>
    <t>NHS Pension:</t>
  </si>
  <si>
    <t>Salary Rates for Clinical Academics as from 1st Oct 2018</t>
  </si>
  <si>
    <t>Level</t>
  </si>
  <si>
    <t>Payment Table iTrent</t>
  </si>
  <si>
    <t>Superannuation</t>
  </si>
  <si>
    <t>National Insurance</t>
  </si>
  <si>
    <t>Clinical DIT</t>
  </si>
  <si>
    <t>01</t>
  </si>
  <si>
    <t>(Non Incremental)</t>
  </si>
  <si>
    <t>02</t>
  </si>
  <si>
    <t>03</t>
  </si>
  <si>
    <t>04</t>
  </si>
  <si>
    <t>Academic GPs</t>
  </si>
  <si>
    <t>Clinical++</t>
  </si>
  <si>
    <t>Pre 2009 CL</t>
  </si>
  <si>
    <t>Clinical</t>
  </si>
  <si>
    <t>Point 12 Not used at SGUL</t>
  </si>
  <si>
    <t>05</t>
  </si>
  <si>
    <t>06</t>
  </si>
  <si>
    <t>07</t>
  </si>
  <si>
    <t>08</t>
  </si>
  <si>
    <t>09</t>
  </si>
  <si>
    <t>10/13</t>
  </si>
  <si>
    <t>11/14</t>
  </si>
  <si>
    <t>Pre 2009 SL/Reader</t>
  </si>
  <si>
    <t>Post 2009 CL</t>
  </si>
  <si>
    <t>Clinical+</t>
  </si>
  <si>
    <t>10</t>
  </si>
  <si>
    <t>11</t>
  </si>
  <si>
    <t>Post 2009 SL/Reader</t>
  </si>
  <si>
    <t xml:space="preserve">Hold honorary Consultant Contract Pre 2003 </t>
  </si>
  <si>
    <t>New Clinical Consultants  October 2018</t>
  </si>
  <si>
    <t>First Consultant Post on or after February 2004</t>
  </si>
  <si>
    <t>Basic</t>
  </si>
  <si>
    <t>LW</t>
  </si>
  <si>
    <t>NI</t>
  </si>
  <si>
    <t>NHS</t>
  </si>
  <si>
    <t>Annual</t>
  </si>
  <si>
    <t>Monthly</t>
  </si>
  <si>
    <t>Daily</t>
  </si>
  <si>
    <t>Weekly</t>
  </si>
  <si>
    <t>Hourly</t>
  </si>
  <si>
    <t>per APA</t>
  </si>
  <si>
    <t>inc. oncosts</t>
  </si>
  <si>
    <t>Threshold</t>
  </si>
  <si>
    <t xml:space="preserve">Points </t>
  </si>
  <si>
    <t>Subtotal</t>
  </si>
  <si>
    <t>Oncosts</t>
  </si>
  <si>
    <t>Additional Allowances:</t>
  </si>
  <si>
    <t>Discre. Pts</t>
  </si>
  <si>
    <t>CEA</t>
  </si>
  <si>
    <t>Distiction</t>
  </si>
  <si>
    <t>B</t>
  </si>
  <si>
    <t>A</t>
  </si>
  <si>
    <t>A+</t>
  </si>
  <si>
    <t>9 Bronze</t>
  </si>
  <si>
    <t>10 Silver</t>
  </si>
  <si>
    <t>11 Gold</t>
  </si>
  <si>
    <t>12 Platinum</t>
  </si>
  <si>
    <t>New Consultant Scales Oct 2018</t>
  </si>
  <si>
    <t>First Consultant Post before February 2004</t>
  </si>
  <si>
    <t>Seniority</t>
  </si>
  <si>
    <t>SEN 1</t>
  </si>
  <si>
    <t>00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</si>
  <si>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</si>
  <si>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</si>
  <si>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</si>
  <si>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</si>
  <si>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</si>
  <si>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</si>
  <si>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</si>
  <si>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</si>
  <si>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</si>
  <si>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</si>
  <si>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</si>
  <si>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</si>
  <si>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</si>
  <si>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SEN 2</t>
  </si>
  <si>
    <t>SEN 3</t>
  </si>
  <si>
    <t>SEN 4</t>
  </si>
  <si>
    <t>SEN 5</t>
  </si>
  <si>
    <t>SEN 6</t>
  </si>
  <si>
    <t>SEN 7-8</t>
  </si>
  <si>
    <t>SEN 9</t>
  </si>
  <si>
    <t>SEN 10</t>
  </si>
  <si>
    <t>SEN 11</t>
  </si>
  <si>
    <t>SEN 12</t>
  </si>
  <si>
    <t>SEN 13</t>
  </si>
  <si>
    <t>SEN 14</t>
  </si>
  <si>
    <t>SEN 15</t>
  </si>
  <si>
    <t>SEN 16</t>
  </si>
  <si>
    <t>SEN 17</t>
  </si>
  <si>
    <t>SEN 18</t>
  </si>
  <si>
    <t>SEN 19</t>
  </si>
  <si>
    <t>SEN 20</t>
  </si>
  <si>
    <t>SEN 21-29</t>
  </si>
  <si>
    <t>SEN 30+</t>
  </si>
  <si>
    <t>Pension:</t>
  </si>
  <si>
    <t>High cost of living supp.</t>
  </si>
  <si>
    <t>NI rates 2019/20</t>
  </si>
  <si>
    <t>LW:</t>
  </si>
  <si>
    <t>Min:</t>
  </si>
  <si>
    <t>Max:</t>
  </si>
  <si>
    <t>Salary Rates for NHS Pay bands as from 1st April 2018</t>
  </si>
  <si>
    <t>Band 1</t>
  </si>
  <si>
    <t>Band 2</t>
  </si>
  <si>
    <t>Band 3</t>
  </si>
  <si>
    <t>Band 4</t>
  </si>
  <si>
    <t>Band 5</t>
  </si>
  <si>
    <t>Band 6</t>
  </si>
  <si>
    <t>Band 7</t>
  </si>
  <si>
    <t>Band 8A</t>
  </si>
  <si>
    <t>Band 8B</t>
  </si>
  <si>
    <t>Band 8C</t>
  </si>
  <si>
    <t>Band 8D</t>
  </si>
  <si>
    <t>Band 9</t>
  </si>
  <si>
    <t>link to salary scales tabs</t>
  </si>
  <si>
    <t xml:space="preserve">Check likely OFS band with JAL </t>
  </si>
  <si>
    <t>Careers service expansion</t>
  </si>
  <si>
    <t>2025/26</t>
  </si>
  <si>
    <t>Salary Rates for SGUL Staff as from 1st August 2019</t>
  </si>
  <si>
    <t>Salary Rates for SGUL Professorial Staff as from 1st August 2019</t>
  </si>
  <si>
    <t>Senior Admin /Professorial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</si>
</sst>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0"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&quot;£&quot;#,##0"/>
    <numFmt numFmtId="166" formatCode="#,##0;\(#,##0\)"/>
    <numFmt numFmtId="167" formatCode="#,##0_ ;[Red]\-#,##0\ "/>
    <numFmt numFmtId="168" formatCode="&quot;£&quot;#,##0.00"/>
    <numFmt numFmtId="169" formatCode="[$£-809]#,##0"/>
  </numFmts>
  <fonts count="74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i/>
      <sz val="9"/>
      <color theme="1"/>
      <name val="Calibri"/>
      <family val="2"/>
      <charset val="0"/>
      <scheme val="minor"/>
    </font>
    <font>
      <b/>
      <sz val="14"/>
      <color rgb="FF00B050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1"/>
      <color rgb="FF00B050"/>
      <name val="Calibri"/>
      <family val="2"/>
      <charset val="0"/>
      <scheme val="minor"/>
    </font>
    <font>
      <b/>
      <sz val="11"/>
      <color rgb="FF00B050"/>
      <name val="Calibri"/>
      <family val="2"/>
      <charset val="0"/>
      <scheme val="minor"/>
    </font>
    <font>
      <b/>
      <sz val="10"/>
      <color rgb="FF00B050"/>
      <name val="Calibri"/>
      <family val="2"/>
      <charset val="0"/>
      <scheme val="minor"/>
    </font>
    <font>
      <b/>
      <i/>
      <sz val="11"/>
      <color theme="1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b/>
      <sz val="11"/>
      <color rgb="FFFF0000"/>
      <name val="Calibri"/>
      <family val="2"/>
      <charset val="0"/>
      <scheme val="minor"/>
    </font>
    <font>
      <sz val="11"/>
      <color theme="4" tint="-0.249977111117893"/>
      <name val="Calibri"/>
      <family val="2"/>
      <charset val="0"/>
      <scheme val="minor"/>
    </font>
    <font>
      <b/>
      <sz val="11"/>
      <color theme="4" tint="-0.249977111117893"/>
      <name val="Calibri"/>
      <family val="2"/>
      <charset val="0"/>
      <scheme val="minor"/>
    </font>
    <font>
      <sz val="11"/>
      <color indexed="10"/>
      <name val="Calibri"/>
      <family val="2"/>
      <charset val="0"/>
    </font>
    <font>
      <b/>
      <sz val="11"/>
      <color indexed="8"/>
      <name val="Calibri"/>
      <family val="2"/>
      <charset val="0"/>
    </font>
    <font>
      <sz val="11"/>
      <color theme="1"/>
      <name val="Arial"/>
      <family val="2"/>
      <charset val="0"/>
    </font>
    <font>
      <i/>
      <sz val="11"/>
      <color theme="1"/>
      <name val="Calibri"/>
      <family val="2"/>
      <charset val="0"/>
      <scheme val="minor"/>
    </font>
    <font>
      <b/>
      <sz val="11"/>
      <color theme="1"/>
      <name val="Arial"/>
      <family val="2"/>
      <charset val="0"/>
    </font>
    <font>
      <sz val="11"/>
      <color rgb="FF01629D"/>
      <name val="Calibri"/>
      <family val="2"/>
      <charset val="0"/>
      <scheme val="minor"/>
    </font>
    <font>
      <b/>
      <sz val="11"/>
      <color rgb="FF01629D"/>
      <name val="Calibri"/>
      <family val="2"/>
      <charset val="0"/>
      <scheme val="minor"/>
    </font>
    <font>
      <i/>
      <sz val="11"/>
      <color theme="4" tint="-0.249977111117893"/>
      <name val="Calibri"/>
      <family val="2"/>
      <charset val="0"/>
      <scheme val="minor"/>
    </font>
    <font>
      <b/>
      <i/>
      <sz val="11"/>
      <color theme="4" tint="-0.249977111117893"/>
      <name val="Calibri"/>
      <family val="2"/>
      <charset val="0"/>
      <scheme val="minor"/>
    </font>
    <font>
      <b/>
      <i/>
      <sz val="11"/>
      <name val="Calibri"/>
      <family val="2"/>
      <charset val="0"/>
      <scheme val="minor"/>
    </font>
    <font>
      <sz val="10"/>
      <name val="Arial"/>
      <family val="2"/>
      <charset val="0"/>
    </font>
    <font>
      <sz val="11"/>
      <name val="Calibri"/>
      <family val="2"/>
      <charset val="0"/>
      <scheme val="minor"/>
    </font>
    <font>
      <sz val="11"/>
      <color indexed="8"/>
      <name val="Calibri"/>
      <family val="2"/>
      <charset val="0"/>
    </font>
    <font>
      <sz val="11"/>
      <color indexed="9"/>
      <name val="Calibri"/>
      <family val="2"/>
      <charset val="0"/>
    </font>
    <font>
      <sz val="11"/>
      <color indexed="20"/>
      <name val="Calibri"/>
      <family val="2"/>
      <charset val="0"/>
    </font>
    <font>
      <b/>
      <sz val="11"/>
      <color indexed="10"/>
      <name val="Calibri"/>
      <family val="2"/>
      <charset val="0"/>
    </font>
    <font>
      <b/>
      <sz val="11"/>
      <color indexed="9"/>
      <name val="Calibri"/>
      <family val="2"/>
      <charset val="0"/>
    </font>
    <font>
      <sz val="10"/>
      <name val="MS Sans Serif"/>
      <family val="2"/>
      <charset val="0"/>
    </font>
    <font>
      <i/>
      <sz val="11"/>
      <color indexed="23"/>
      <name val="Calibri"/>
      <family val="2"/>
      <charset val="0"/>
    </font>
    <font>
      <sz val="11"/>
      <color indexed="17"/>
      <name val="Calibri"/>
      <family val="2"/>
      <charset val="0"/>
    </font>
    <font>
      <b/>
      <sz val="15"/>
      <color indexed="62"/>
      <name val="Calibri"/>
      <family val="2"/>
      <charset val="0"/>
    </font>
    <font>
      <b/>
      <sz val="13"/>
      <color indexed="62"/>
      <name val="Calibri"/>
      <family val="2"/>
      <charset val="0"/>
    </font>
    <font>
      <b/>
      <sz val="11"/>
      <color indexed="62"/>
      <name val="Calibri"/>
      <family val="2"/>
      <charset val="0"/>
    </font>
    <font>
      <sz val="11"/>
      <color indexed="62"/>
      <name val="Calibri"/>
      <family val="2"/>
      <charset val="0"/>
    </font>
    <font>
      <sz val="11"/>
      <color indexed="19"/>
      <name val="Calibri"/>
      <family val="2"/>
      <charset val="0"/>
    </font>
    <font>
      <b/>
      <sz val="11"/>
      <color indexed="63"/>
      <name val="Calibri"/>
      <family val="2"/>
      <charset val="0"/>
    </font>
    <font>
      <b/>
      <sz val="18"/>
      <color indexed="62"/>
      <name val="Cambria"/>
      <family val="2"/>
      <charset val="0"/>
    </font>
    <font>
      <b/>
      <sz val="14"/>
      <color theme="1"/>
      <name val="Calibri"/>
      <family val="2"/>
      <charset val="0"/>
      <scheme val="minor"/>
    </font>
    <font>
      <i/>
      <sz val="11"/>
      <color rgb="FFFF0000"/>
      <name val="Calibri"/>
      <family val="2"/>
      <charset val="0"/>
      <scheme val="minor"/>
    </font>
    <font>
      <sz val="10"/>
      <color indexed="8"/>
      <name val="Arial"/>
      <family val="2"/>
      <charset val="0"/>
    </font>
    <font>
      <sz val="11"/>
      <color rgb="FF0070C0"/>
      <name val="Calibri"/>
      <family val="2"/>
      <charset val="0"/>
      <scheme val="minor"/>
    </font>
    <font>
      <b/>
      <u val="single"/>
      <sz val="11"/>
      <color theme="1"/>
      <name val="Calibri"/>
      <family val="2"/>
      <charset val="0"/>
      <scheme val="minor"/>
    </font>
    <font>
      <b/>
      <sz val="12"/>
      <color theme="1"/>
      <name val="Calibri"/>
      <family val="2"/>
      <charset val="0"/>
      <scheme val="minor"/>
    </font>
    <font>
      <sz val="12"/>
      <color theme="1"/>
      <name val="Calibri"/>
      <family val="2"/>
      <charset val="0"/>
      <scheme val="minor"/>
    </font>
    <font>
      <b/>
      <sz val="8"/>
      <color rgb="FF92D050"/>
      <name val="Calibri"/>
      <family val="2"/>
      <charset val="0"/>
      <scheme val="minor"/>
    </font>
    <font>
      <sz val="8"/>
      <color rgb="FF92D050"/>
      <name val="Calibri"/>
      <family val="2"/>
      <charset val="0"/>
      <scheme val="minor"/>
    </font>
    <font>
      <b/>
      <sz val="12"/>
      <color rgb="FF92D050"/>
      <name val="Calibri"/>
      <family val="2"/>
      <charset val="0"/>
      <scheme val="minor"/>
    </font>
    <font>
      <b/>
      <sz val="8"/>
      <color rgb="FFFFC000"/>
      <name val="Calibri"/>
      <family val="2"/>
      <charset val="0"/>
      <scheme val="minor"/>
    </font>
    <font>
      <sz val="8"/>
      <color rgb="FFFFC000"/>
      <name val="Calibri"/>
      <family val="2"/>
      <charset val="0"/>
      <scheme val="minor"/>
    </font>
    <font>
      <b/>
      <sz val="12"/>
      <color rgb="FFFFC000"/>
      <name val="Calibri"/>
      <family val="2"/>
      <charset val="0"/>
      <scheme val="minor"/>
    </font>
    <font>
      <b/>
      <sz val="8"/>
      <color rgb="FFFF0000"/>
      <name val="Calibri"/>
      <family val="2"/>
      <charset val="0"/>
      <scheme val="minor"/>
    </font>
    <font>
      <sz val="8"/>
      <color rgb="FFFF0000"/>
      <name val="Calibri"/>
      <family val="2"/>
      <charset val="0"/>
      <scheme val="minor"/>
    </font>
    <font>
      <b/>
      <sz val="12"/>
      <color rgb="FFFF0000"/>
      <name val="Calibri"/>
      <family val="2"/>
      <charset val="0"/>
      <scheme val="minor"/>
    </font>
    <font>
      <b/>
      <sz val="8"/>
      <color theme="1"/>
      <name val="Calibri"/>
      <family val="2"/>
      <charset val="0"/>
      <scheme val="minor"/>
    </font>
    <font>
      <sz val="8"/>
      <color theme="1"/>
      <name val="Calibri"/>
      <family val="2"/>
      <charset val="0"/>
      <scheme val="minor"/>
    </font>
    <font>
      <b/>
      <sz val="11"/>
      <color rgb="FF92D050"/>
      <name val="Calibri"/>
      <family val="2"/>
      <charset val="0"/>
      <scheme val="minor"/>
    </font>
    <font>
      <b/>
      <sz val="11"/>
      <color rgb="FFFFC000"/>
      <name val="Calibri"/>
      <family val="2"/>
      <charset val="0"/>
      <scheme val="minor"/>
    </font>
    <font>
      <i/>
      <sz val="11"/>
      <name val="Calibri"/>
      <family val="2"/>
      <charset val="0"/>
      <scheme val="minor"/>
    </font>
    <font>
      <sz val="10"/>
      <color theme="1"/>
      <name val="Calibri"/>
      <family val="2"/>
      <charset val="0"/>
      <scheme val="minor"/>
    </font>
    <font>
      <sz val="14"/>
      <color theme="1"/>
      <name val="Calibri"/>
      <family val="2"/>
      <charset val="0"/>
      <scheme val="minor"/>
    </font>
    <font>
      <sz val="16"/>
      <color theme="1"/>
      <name val="Calibri"/>
      <family val="2"/>
      <charset val="0"/>
      <scheme val="minor"/>
    </font>
    <font>
      <b/>
      <sz val="16"/>
      <name val="Arial"/>
      <family val="2"/>
      <charset val="0"/>
    </font>
    <font>
      <sz val="9"/>
      <name val="Arial"/>
      <family val="2"/>
      <charset val="0"/>
    </font>
    <font>
      <sz val="9"/>
      <color theme="1"/>
      <name val="Arial"/>
      <family val="2"/>
      <charset val="0"/>
    </font>
    <font>
      <b/>
      <sz val="10"/>
      <name val="Arial"/>
      <family val="2"/>
      <charset val="0"/>
    </font>
    <font>
      <sz val="12"/>
      <name val="Arial"/>
      <family val="2"/>
      <charset val="0"/>
    </font>
    <font>
      <b/>
      <sz val="16"/>
      <color theme="1"/>
      <name val="Arial"/>
      <family val="2"/>
      <charset val="0"/>
    </font>
    <font>
      <sz val="16"/>
      <name val="Arial"/>
      <family val="2"/>
      <charset val="0"/>
    </font>
    <font>
      <b/>
      <sz val="10"/>
      <color rgb="FF333333"/>
      <name val="Arial"/>
      <family val="2"/>
      <charset val="0"/>
    </font>
    <font>
      <sz val="10"/>
      <color rgb="FF333333"/>
      <name val="Arial"/>
      <family val="2"/>
      <charset val="0"/>
    </font>
    <font>
      <sz val="10"/>
      <name val="Arial"/>
      <charset val="0"/>
    </font>
  </fonts>
  <fills count="2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56"/>
        <bgColor indexed="65"/>
      </patternFill>
    </fill>
    <fill>
      <patternFill patternType="solid">
        <fgColor indexed="54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5">
    <xf numFmtId="0" fontId="0" fillId="0" borderId="0"/>
    <xf numFmtId="9" fontId="0" fillId="0" borderId="0" applyAlignment="0" applyBorder="0" applyFont="0" applyFill="0" applyProtection="0"/>
    <xf numFmtId="0" fontId="23" fillId="0" borderId="0"/>
    <xf numFmtId="0" fontId="0" fillId="0" borderId="0"/>
    <xf numFmtId="0" fontId="25" fillId="2" borderId="0" applyAlignment="0" applyBorder="0" applyNumberFormat="0" applyProtection="0"/>
    <xf numFmtId="0" fontId="25" fillId="3" borderId="0" applyAlignment="0" applyBorder="0" applyNumberFormat="0" applyProtection="0"/>
    <xf numFmtId="0" fontId="25" fillId="4" borderId="0" applyAlignment="0" applyBorder="0" applyNumberFormat="0" applyProtection="0"/>
    <xf numFmtId="0" fontId="25" fillId="5" borderId="0" applyAlignment="0" applyBorder="0" applyNumberFormat="0" applyProtection="0"/>
    <xf numFmtId="0" fontId="25" fillId="6" borderId="0" applyAlignment="0" applyBorder="0" applyNumberFormat="0" applyProtection="0"/>
    <xf numFmtId="0" fontId="25" fillId="4" borderId="0" applyAlignment="0" applyBorder="0" applyNumberFormat="0" applyProtection="0"/>
    <xf numFmtId="0" fontId="25" fillId="6" borderId="0" applyAlignment="0" applyBorder="0" applyNumberFormat="0" applyProtection="0"/>
    <xf numFmtId="0" fontId="25" fillId="3" borderId="0" applyAlignment="0" applyBorder="0" applyNumberFormat="0" applyProtection="0"/>
    <xf numFmtId="0" fontId="25" fillId="7" borderId="0" applyAlignment="0" applyBorder="0" applyNumberFormat="0" applyProtection="0"/>
    <xf numFmtId="0" fontId="25" fillId="8" borderId="0" applyAlignment="0" applyBorder="0" applyNumberFormat="0" applyProtection="0"/>
    <xf numFmtId="0" fontId="25" fillId="6" borderId="0" applyAlignment="0" applyBorder="0" applyNumberFormat="0" applyProtection="0"/>
    <xf numFmtId="0" fontId="25" fillId="4" borderId="0" applyAlignment="0" applyBorder="0" applyNumberFormat="0" applyProtection="0"/>
    <xf numFmtId="0" fontId="26" fillId="6" borderId="0" applyAlignment="0" applyBorder="0" applyNumberFormat="0" applyProtection="0"/>
    <xf numFmtId="0" fontId="26" fillId="9" borderId="0" applyAlignment="0" applyBorder="0" applyNumberFormat="0" applyProtection="0"/>
    <xf numFmtId="0" fontId="26" fillId="10" borderId="0" applyAlignment="0" applyBorder="0" applyNumberFormat="0" applyProtection="0"/>
    <xf numFmtId="0" fontId="26" fillId="8" borderId="0" applyAlignment="0" applyBorder="0" applyNumberFormat="0" applyProtection="0"/>
    <xf numFmtId="0" fontId="26" fillId="6" borderId="0" applyAlignment="0" applyBorder="0" applyNumberFormat="0" applyProtection="0"/>
    <xf numFmtId="0" fontId="26" fillId="3" borderId="0" applyAlignment="0" applyBorder="0" applyNumberFormat="0" applyProtection="0"/>
    <xf numFmtId="0" fontId="26" fillId="11" borderId="0" applyAlignment="0" applyBorder="0" applyNumberFormat="0" applyProtection="0"/>
    <xf numFmtId="0" fontId="26" fillId="9" borderId="0" applyAlignment="0" applyBorder="0" applyNumberFormat="0" applyProtection="0"/>
    <xf numFmtId="0" fontId="26" fillId="10" borderId="0" applyAlignment="0" applyBorder="0" applyNumberFormat="0" applyProtection="0"/>
    <xf numFmtId="0" fontId="26" fillId="12" borderId="0" applyAlignment="0" applyBorder="0" applyNumberFormat="0" applyProtection="0"/>
    <xf numFmtId="0" fontId="26" fillId="13" borderId="0" applyAlignment="0" applyBorder="0" applyNumberFormat="0" applyProtection="0"/>
    <xf numFmtId="0" fontId="26" fillId="14" borderId="0" applyAlignment="0" applyBorder="0" applyNumberFormat="0" applyProtection="0"/>
    <xf numFmtId="0" fontId="27" fillId="15" borderId="0" applyAlignment="0" applyBorder="0" applyNumberFormat="0" applyProtection="0"/>
    <xf numFmtId="0" fontId="28" fillId="16" borderId="1" applyAlignment="0" applyNumberFormat="0" applyProtection="0"/>
    <xf numFmtId="0" fontId="29" fillId="17" borderId="2" applyAlignment="0" applyNumberFormat="0" applyProtection="0"/>
    <xf numFmtId="40" fontId="30" fillId="0" borderId="0" applyAlignment="0" applyBorder="0" applyFont="0" applyFill="0" applyProtection="0"/>
    <xf numFmtId="0" fontId="31" fillId="0" borderId="0" applyAlignment="0" applyBorder="0" applyNumberFormat="0" applyFill="0" applyProtection="0"/>
    <xf numFmtId="0" fontId="32" fillId="6" borderId="0" applyAlignment="0" applyBorder="0" applyNumberFormat="0" applyProtection="0"/>
    <xf numFmtId="0" fontId="33" fillId="0" borderId="3" applyAlignment="0" applyNumberFormat="0" applyFill="0" applyProtection="0"/>
    <xf numFmtId="0" fontId="34" fillId="0" borderId="4" applyAlignment="0" applyNumberFormat="0" applyFill="0" applyProtection="0"/>
    <xf numFmtId="0" fontId="35" fillId="0" borderId="5" applyAlignment="0" applyNumberFormat="0" applyFill="0" applyProtection="0"/>
    <xf numFmtId="0" fontId="35" fillId="0" borderId="0" applyAlignment="0" applyBorder="0" applyNumberFormat="0" applyFill="0" applyProtection="0"/>
    <xf numFmtId="0" fontId="36" fillId="7" borderId="1" applyAlignment="0" applyNumberFormat="0" applyProtection="0"/>
    <xf numFmtId="0" fontId="13" fillId="0" borderId="6" applyAlignment="0" applyNumberFormat="0" applyFill="0" applyProtection="0"/>
    <xf numFmtId="0" fontId="37" fillId="7" borderId="0" applyAlignment="0" applyBorder="0" applyNumberFormat="0" applyProtection="0"/>
    <xf numFmtId="0" fontId="0" fillId="0" borderId="0"/>
    <xf numFmtId="0" fontId="30" fillId="4" borderId="7" applyAlignment="0" applyFont="0" applyNumberFormat="0" applyProtection="0"/>
    <xf numFmtId="0" fontId="38" fillId="16" borderId="8" applyAlignment="0" applyNumberFormat="0" applyProtection="0"/>
    <xf numFmtId="9" fontId="0" fillId="0" borderId="0" applyAlignment="0" applyBorder="0" applyFont="0" applyFill="0" applyProtection="0"/>
    <xf numFmtId="9" fontId="0" fillId="0" borderId="0" applyAlignment="0" applyBorder="0" applyFont="0" applyFill="0" applyProtection="0"/>
    <xf numFmtId="9" fontId="25" fillId="0" borderId="0" applyAlignment="0" applyBorder="0" applyFont="0" applyFill="0" applyProtection="0"/>
    <xf numFmtId="9" fontId="0" fillId="0" borderId="0" applyAlignment="0" applyBorder="0" applyFont="0" applyFill="0" applyProtection="0"/>
    <xf numFmtId="0" fontId="39" fillId="0" borderId="0" applyAlignment="0" applyBorder="0" applyNumberFormat="0" applyFill="0" applyProtection="0"/>
    <xf numFmtId="0" fontId="14" fillId="0" borderId="9" applyAlignment="0" applyNumberFormat="0" applyFill="0" applyProtection="0"/>
    <xf numFmtId="0" fontId="13" fillId="0" borderId="0" applyAlignment="0" applyBorder="0" applyNumberFormat="0" applyFill="0" applyProtection="0"/>
    <xf numFmtId="0" fontId="42" fillId="0" borderId="0"/>
    <xf numFmtId="0" fontId="4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16" borderId="1" applyAlignment="0" applyNumberFormat="0" applyProtection="0"/>
    <xf numFmtId="0" fontId="28" fillId="16" borderId="1" applyAlignment="0" applyNumberFormat="0" applyProtection="0"/>
    <xf numFmtId="0" fontId="36" fillId="7" borderId="1" applyAlignment="0" applyNumberFormat="0" applyProtection="0"/>
    <xf numFmtId="0" fontId="36" fillId="7" borderId="1" applyAlignment="0" applyNumberFormat="0" applyProtection="0"/>
    <xf numFmtId="0" fontId="30" fillId="4" borderId="7" applyAlignment="0" applyFont="0" applyNumberFormat="0" applyProtection="0"/>
    <xf numFmtId="0" fontId="30" fillId="4" borderId="7" applyAlignment="0" applyFont="0" applyNumberFormat="0" applyProtection="0"/>
    <xf numFmtId="0" fontId="38" fillId="16" borderId="8" applyAlignment="0" applyNumberFormat="0" applyProtection="0"/>
    <xf numFmtId="0" fontId="38" fillId="16" borderId="8" applyAlignment="0" applyNumberFormat="0" applyProtection="0"/>
    <xf numFmtId="0" fontId="14" fillId="0" borderId="9" applyAlignment="0" applyNumberFormat="0" applyFill="0" applyProtection="0"/>
    <xf numFmtId="0" fontId="14" fillId="0" borderId="9" applyAlignment="0" applyNumberFormat="0" applyFill="0" applyProtection="0"/>
    <xf numFmtId="43" fontId="23" fillId="0" borderId="0" applyAlignment="0" applyBorder="0" applyFont="0" applyFill="0" applyProtection="0"/>
    <xf numFmtId="0" fontId="73" fillId="0" borderId="0"/>
  </cellStyleXfs>
  <cellXfs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Alignment="1" applyFont="1">
      <alignment horizontal="center"/>
    </xf>
    <xf numFmtId="0" fontId="0" fillId="18" borderId="10" xfId="0" applyBorder="1" applyFill="1"/>
    <xf numFmtId="0" fontId="0" fillId="18" borderId="10" xfId="0" applyAlignment="1" applyBorder="1" applyFill="1">
      <alignment horizontal="center"/>
    </xf>
    <xf numFmtId="0" fontId="1" fillId="0" borderId="0" xfId="0" applyAlignment="1" applyFont="1" quotePrefix="1">
      <alignment horizontal="center"/>
    </xf>
    <xf numFmtId="0" fontId="1" fillId="0" borderId="0" xfId="0" applyAlignment="1" applyFont="1">
      <alignment horizontal="center" wrapText="1"/>
    </xf>
    <xf numFmtId="0" fontId="0" fillId="0" borderId="0" xfId="0" applyBorder="1" applyFill="1"/>
    <xf numFmtId="0" fontId="0" fillId="0" borderId="0" xfId="0" applyAlignment="1" applyBorder="1" applyFill="1">
      <alignment horizontal="center"/>
    </xf>
    <xf numFmtId="0" fontId="0" fillId="0" borderId="0" xfId="0" applyFill="1"/>
    <xf numFmtId="0" fontId="5" fillId="0" borderId="0" xfId="0" applyFont="1"/>
    <xf numFmtId="0" fontId="6" fillId="0" borderId="0" xfId="0" applyFont="1"/>
    <xf numFmtId="0" fontId="5" fillId="18" borderId="10" xfId="0" applyAlignment="1" applyBorder="1" applyFont="1" applyFill="1">
      <alignment wrapText="1"/>
    </xf>
    <xf numFmtId="0" fontId="1" fillId="0" borderId="0" xfId="0" applyAlignment="1" applyFont="1">
      <alignment horizontal="right" wrapText="1"/>
    </xf>
    <xf numFmtId="0" fontId="2" fillId="0" borderId="0" xfId="0" applyAlignment="1" applyFont="1">
      <alignment vertical="center"/>
    </xf>
    <xf numFmtId="0" fontId="3" fillId="0" borderId="0" xfId="0" applyAlignment="1" applyFont="1">
      <alignment vertical="center" wrapText="1"/>
    </xf>
    <xf numFmtId="0" fontId="5" fillId="0" borderId="0" xfId="0" applyAlignment="1" applyFont="1">
      <alignment vertical="center"/>
    </xf>
    <xf numFmtId="164" fontId="0" fillId="18" borderId="10" xfId="1" applyBorder="1" applyFont="1" applyNumberFormat="1" applyFill="1"/>
    <xf numFmtId="0" fontId="1" fillId="0" borderId="0" xfId="0" applyAlignment="1" applyBorder="1" applyFont="1" applyFill="1">
      <alignment horizontal="center" wrapText="1"/>
    </xf>
    <xf numFmtId="0" fontId="10" fillId="0" borderId="0" xfId="0" applyAlignment="1" applyFont="1">
      <alignment horizontal="center" wrapText="1"/>
    </xf>
    <xf numFmtId="0" fontId="11" fillId="0" borderId="0" xfId="0" applyFont="1"/>
    <xf numFmtId="0" fontId="12" fillId="0" borderId="0" xfId="0" applyAlignment="1" applyFont="1" quotePrefix="1">
      <alignment horizontal="center" vertical="center"/>
    </xf>
    <xf numFmtId="0" fontId="12" fillId="0" borderId="0" xfId="0" applyFont="1"/>
    <xf numFmtId="0" fontId="12" fillId="0" borderId="0" xfId="0" applyAlignment="1" applyFont="1" quotePrefix="1">
      <alignment horizontal="center"/>
    </xf>
    <xf numFmtId="0" fontId="1" fillId="0" borderId="0" xfId="0" applyAlignment="1" applyFont="1">
      <alignment wrapText="1"/>
    </xf>
    <xf numFmtId="0" fontId="0" fillId="0" borderId="0" xfId="0" applyAlignment="1">
      <alignment wrapText="1"/>
    </xf>
    <xf numFmtId="0" fontId="18" fillId="0" borderId="0" xfId="0" applyAlignment="1" applyBorder="1" applyFont="1">
      <alignment vertical="center" wrapText="1"/>
    </xf>
    <xf numFmtId="0" fontId="0" fillId="0" borderId="0" xfId="0" applyBorder="1"/>
    <xf numFmtId="0" fontId="19" fillId="0" borderId="0" xfId="0" applyAlignment="1" applyBorder="1" applyFont="1">
      <alignment vertical="center" wrapText="1"/>
    </xf>
    <xf numFmtId="0" fontId="20" fillId="0" borderId="0" xfId="0" applyFont="1"/>
    <xf numFmtId="0" fontId="21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4" fontId="24" fillId="0" borderId="0" xfId="3" applyBorder="1" applyFont="1" applyNumberFormat="1" applyFill="1"/>
    <xf numFmtId="4" fontId="1" fillId="0" borderId="11" xfId="0" applyBorder="1" applyFont="1" applyNumberFormat="1"/>
    <xf numFmtId="4" fontId="0" fillId="0" borderId="0" xfId="0" applyNumberFormat="1" applyFill="1"/>
    <xf numFmtId="0" fontId="40" fillId="0" borderId="0" xfId="0" applyFont="1"/>
    <xf numFmtId="0" fontId="9" fillId="0" borderId="0" xfId="0" applyAlignment="1" applyFont="1">
      <alignment horizontal="center" vertical="center"/>
    </xf>
    <xf numFmtId="0" fontId="41" fillId="0" borderId="0" xfId="0" applyAlignment="1" applyFont="1">
      <alignment horizontal="center" vertical="center"/>
    </xf>
    <xf numFmtId="0" fontId="0" fillId="0" borderId="12" xfId="0" applyAlignment="1" applyBorder="1">
      <alignment horizontal="right"/>
    </xf>
    <xf numFmtId="0" fontId="1" fillId="0" borderId="12" xfId="0" applyAlignment="1" applyBorder="1" applyFont="1">
      <alignment horizontal="right"/>
    </xf>
    <xf numFmtId="0" fontId="0" fillId="0" borderId="12" xfId="0" applyBorder="1"/>
    <xf numFmtId="166" fontId="0" fillId="0" borderId="12" xfId="0" applyBorder="1" applyNumberFormat="1"/>
    <xf numFmtId="166" fontId="0" fillId="0" borderId="10" xfId="0" applyBorder="1" applyNumberFormat="1"/>
    <xf numFmtId="3" fontId="0" fillId="0" borderId="12" xfId="0" applyBorder="1" applyNumberFormat="1"/>
    <xf numFmtId="1" fontId="0" fillId="0" borderId="12" xfId="0" applyBorder="1" applyNumberFormat="1"/>
    <xf numFmtId="0" fontId="0" fillId="0" borderId="13" xfId="0" applyBorder="1"/>
    <xf numFmtId="0" fontId="16" fillId="0" borderId="14" xfId="0" applyBorder="1" applyFont="1"/>
    <xf numFmtId="0" fontId="0" fillId="0" borderId="15" xfId="0" applyBorder="1"/>
    <xf numFmtId="0" fontId="0" fillId="0" borderId="14" xfId="0" applyBorder="1"/>
    <xf numFmtId="0" fontId="16" fillId="0" borderId="15" xfId="0" applyBorder="1" applyFont="1"/>
    <xf numFmtId="0" fontId="0" fillId="0" borderId="14" xfId="0" applyBorder="1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Alignment="1" applyBorder="1">
      <alignment horizontal="right"/>
    </xf>
    <xf numFmtId="165" fontId="0" fillId="0" borderId="12" xfId="0" applyBorder="1" applyNumberFormat="1"/>
    <xf numFmtId="0" fontId="16" fillId="0" borderId="12" xfId="0" applyBorder="1" applyFont="1"/>
    <xf numFmtId="0" fontId="0" fillId="0" borderId="12" xfId="0" applyBorder="1" applyFont="1"/>
    <xf numFmtId="166" fontId="0" fillId="0" borderId="13" xfId="0" applyBorder="1" applyNumberFormat="1"/>
    <xf numFmtId="0" fontId="41" fillId="0" borderId="0" xfId="0" applyAlignment="1" applyFont="1">
      <alignment horizontal="right" vertical="center"/>
    </xf>
    <xf numFmtId="4" fontId="0" fillId="0" borderId="0" xfId="0" applyAlignment="1" applyNumberFormat="1"/>
    <xf numFmtId="4" fontId="0" fillId="0" borderId="0" xfId="0" applyBorder="1" applyNumberFormat="1" applyFill="1"/>
    <xf numFmtId="0" fontId="0" fillId="0" borderId="10" xfId="0" applyBorder="1" applyFill="1"/>
    <xf numFmtId="3" fontId="0" fillId="18" borderId="10" xfId="0" applyAlignment="1" applyBorder="1" applyNumberFormat="1" applyFill="1">
      <alignment horizontal="center"/>
    </xf>
    <xf numFmtId="0" fontId="1" fillId="0" borderId="21" xfId="0" applyAlignment="1" applyBorder="1" applyFont="1">
      <alignment horizontal="right"/>
    </xf>
    <xf numFmtId="164" fontId="0" fillId="18" borderId="10" xfId="0" applyAlignment="1" applyBorder="1" applyFont="1" applyNumberFormat="1" applyFill="1">
      <alignment horizontal="right" wrapText="1"/>
    </xf>
    <xf numFmtId="3" fontId="0" fillId="18" borderId="10" xfId="0" applyAlignment="1" applyBorder="1" applyNumberFormat="1" applyFill="1">
      <alignment horizontal="center" wrapText="1"/>
    </xf>
    <xf numFmtId="0" fontId="9" fillId="0" borderId="0" xfId="0" applyAlignment="1" applyBorder="1" applyFont="1" applyFill="1">
      <alignment wrapText="1"/>
    </xf>
    <xf numFmtId="0" fontId="5" fillId="0" borderId="0" xfId="0" applyAlignment="1" applyBorder="1" applyFont="1" applyFill="1">
      <alignment wrapText="1"/>
    </xf>
    <xf numFmtId="0" fontId="24" fillId="0" borderId="0" xfId="0" applyAlignment="1" applyFont="1">
      <alignment horizontal="right"/>
    </xf>
    <xf numFmtId="0" fontId="15" fillId="18" borderId="10" xfId="0" applyAlignment="1" applyBorder="1" applyFont="1" applyFill="1">
      <alignment horizontal="center" vertical="center" wrapText="1"/>
    </xf>
    <xf numFmtId="0" fontId="17" fillId="0" borderId="10" xfId="0" applyAlignment="1" applyBorder="1" applyFont="1" applyFill="1">
      <alignment horizontal="center" vertical="center" wrapText="1"/>
    </xf>
    <xf numFmtId="0" fontId="0" fillId="0" borderId="0" xfId="0" applyAlignment="1" applyFill="1">
      <alignment wrapText="1"/>
    </xf>
    <xf numFmtId="9" fontId="16" fillId="0" borderId="12" xfId="1" applyBorder="1" applyFont="1" applyNumberFormat="1"/>
    <xf numFmtId="0" fontId="0" fillId="0" borderId="12" xfId="0" applyAlignment="1" applyBorder="1">
      <alignment horizontal="right" wrapText="1"/>
    </xf>
    <xf numFmtId="0" fontId="1" fillId="0" borderId="12" xfId="0" applyAlignment="1" applyBorder="1" applyFont="1">
      <alignment horizontal="right" wrapText="1"/>
    </xf>
    <xf numFmtId="0" fontId="18" fillId="0" borderId="0" xfId="0" applyAlignment="1" applyBorder="1" applyFont="1" applyFill="1">
      <alignment vertical="center" wrapText="1"/>
    </xf>
    <xf numFmtId="0" fontId="11" fillId="0" borderId="0" xfId="0" applyAlignment="1" applyBorder="1" applyFont="1" applyFill="1">
      <alignment horizontal="center" vertical="center"/>
    </xf>
    <xf numFmtId="0" fontId="0" fillId="0" borderId="22" xfId="0" applyBorder="1"/>
    <xf numFmtId="4" fontId="20" fillId="18" borderId="10" xfId="0" applyAlignment="1" applyBorder="1" applyFont="1" applyNumberFormat="1" applyFill="1">
      <alignment horizontal="center" vertical="center"/>
    </xf>
    <xf numFmtId="4" fontId="22" fillId="0" borderId="10" xfId="0" applyAlignment="1" applyBorder="1" applyFont="1" applyNumberFormat="1" applyFill="1">
      <alignment horizontal="center" vertical="center"/>
    </xf>
    <xf numFmtId="4" fontId="11" fillId="18" borderId="10" xfId="0" applyAlignment="1" applyBorder="1" applyFont="1" applyNumberFormat="1" applyFill="1">
      <alignment horizontal="center" vertical="center"/>
    </xf>
    <xf numFmtId="4" fontId="24" fillId="18" borderId="10" xfId="0" applyAlignment="1" applyBorder="1" applyFont="1" applyNumberFormat="1" applyFill="1">
      <alignment horizontal="center" vertical="center"/>
    </xf>
    <xf numFmtId="4" fontId="0" fillId="0" borderId="12" xfId="0" applyAlignment="1" applyBorder="1" applyNumberFormat="1" applyFill="1">
      <alignment horizontal="right"/>
    </xf>
    <xf numFmtId="0" fontId="43" fillId="0" borderId="0" xfId="0" applyFont="1"/>
    <xf numFmtId="0" fontId="0" fillId="0" borderId="0" xfId="0" applyAlignment="1">
      <alignment horizontal="left" indent="2"/>
    </xf>
    <xf numFmtId="3" fontId="0" fillId="0" borderId="0" xfId="0" applyNumberFormat="1" applyFill="1"/>
    <xf numFmtId="0" fontId="8" fillId="0" borderId="14" xfId="0" applyBorder="1" applyFont="1"/>
    <xf numFmtId="0" fontId="44" fillId="0" borderId="0" xfId="0" applyFont="1"/>
    <xf numFmtId="0" fontId="0" fillId="19" borderId="23" xfId="0" applyBorder="1" applyFill="1"/>
    <xf numFmtId="0" fontId="1" fillId="19" borderId="20" xfId="0" applyAlignment="1" applyBorder="1" applyFont="1" applyFill="1">
      <alignment horizontal="right"/>
    </xf>
    <xf numFmtId="0" fontId="1" fillId="19" borderId="23" xfId="0" applyBorder="1" applyFont="1" applyFill="1"/>
    <xf numFmtId="0" fontId="0" fillId="19" borderId="24" xfId="0" applyBorder="1" applyFill="1"/>
    <xf numFmtId="0" fontId="0" fillId="19" borderId="20" xfId="0" applyBorder="1" applyFill="1"/>
    <xf numFmtId="0" fontId="0" fillId="19" borderId="14" xfId="0" applyBorder="1" applyFont="1" applyFill="1"/>
    <xf numFmtId="0" fontId="0" fillId="19" borderId="15" xfId="0" applyBorder="1" applyFill="1"/>
    <xf numFmtId="0" fontId="0" fillId="19" borderId="12" xfId="0" applyBorder="1" applyFill="1"/>
    <xf numFmtId="0" fontId="0" fillId="19" borderId="20" xfId="0" applyAlignment="1" applyBorder="1" applyFill="1">
      <alignment horizontal="right" wrapText="1"/>
    </xf>
    <xf numFmtId="3" fontId="0" fillId="0" borderId="0" xfId="0" applyAlignment="1" applyNumberFormat="1">
      <alignment wrapText="1"/>
    </xf>
    <xf numFmtId="3" fontId="1" fillId="0" borderId="0" xfId="0" applyAlignment="1" applyBorder="1" applyFont="1" applyNumberFormat="1">
      <alignment horizontal="right"/>
    </xf>
    <xf numFmtId="3" fontId="24" fillId="0" borderId="0" xfId="3" applyBorder="1" applyFont="1" applyNumberFormat="1" applyFill="1"/>
    <xf numFmtId="3" fontId="1" fillId="0" borderId="11" xfId="0" applyBorder="1" applyFont="1" applyNumberFormat="1"/>
    <xf numFmtId="3" fontId="1" fillId="0" borderId="0" xfId="0" applyBorder="1" applyFont="1" applyNumberFormat="1"/>
    <xf numFmtId="3" fontId="1" fillId="0" borderId="0" xfId="0" applyAlignment="1" applyBorder="1" applyFont="1" applyNumberFormat="1">
      <alignment horizontal="right" wrapText="1"/>
    </xf>
    <xf numFmtId="0" fontId="0" fillId="0" borderId="0" xfId="0" applyFont="1"/>
    <xf numFmtId="0" fontId="40" fillId="0" borderId="0" xfId="0" applyAlignment="1" applyFont="1">
      <alignment vertical="center" wrapText="1"/>
    </xf>
    <xf numFmtId="3" fontId="0" fillId="0" borderId="0" xfId="0" applyBorder="1" applyNumberFormat="1"/>
    <xf numFmtId="0" fontId="1" fillId="0" borderId="0" xfId="0" applyAlignment="1" applyFont="1">
      <alignment horizontal="right"/>
    </xf>
    <xf numFmtId="3" fontId="1" fillId="0" borderId="11" xfId="0" applyAlignment="1" applyBorder="1" applyFont="1" applyNumberFormat="1"/>
    <xf numFmtId="3" fontId="0" fillId="0" borderId="22" xfId="0" applyBorder="1" applyNumberFormat="1"/>
    <xf numFmtId="0" fontId="1" fillId="20" borderId="16" xfId="0" applyBorder="1" applyFont="1" applyFill="1"/>
    <xf numFmtId="0" fontId="1" fillId="20" borderId="17" xfId="0" applyBorder="1" applyFont="1" applyFill="1"/>
    <xf numFmtId="166" fontId="1" fillId="20" borderId="10" xfId="0" applyBorder="1" applyFont="1" applyNumberFormat="1" applyFill="1"/>
    <xf numFmtId="3" fontId="1" fillId="0" borderId="0" xfId="0" applyFont="1" applyNumberFormat="1"/>
    <xf numFmtId="9" fontId="16" fillId="0" borderId="10" xfId="1" applyBorder="1" applyFont="1" applyNumberFormat="1"/>
    <xf numFmtId="0" fontId="46" fillId="0" borderId="0" xfId="0" applyFont="1"/>
    <xf numFmtId="0" fontId="48" fillId="0" borderId="0" xfId="0" applyFont="1"/>
    <xf numFmtId="0" fontId="51" fillId="0" borderId="0" xfId="0" applyFont="1"/>
    <xf numFmtId="0" fontId="54" fillId="0" borderId="0" xfId="0" applyFont="1"/>
    <xf numFmtId="0" fontId="57" fillId="0" borderId="0" xfId="0" applyFont="1"/>
    <xf numFmtId="0" fontId="1" fillId="0" borderId="16" xfId="0" applyBorder="1" applyFont="1"/>
    <xf numFmtId="0" fontId="1" fillId="0" borderId="17" xfId="0" applyBorder="1" applyFont="1"/>
    <xf numFmtId="166" fontId="1" fillId="0" borderId="10" xfId="0" applyBorder="1" applyFont="1" applyNumberFormat="1"/>
    <xf numFmtId="3" fontId="11" fillId="0" borderId="0" xfId="0" applyAlignment="1" applyBorder="1" applyFont="1" applyNumberFormat="1" applyFill="1">
      <alignment horizontal="right" vertical="center"/>
    </xf>
    <xf numFmtId="167" fontId="1" fillId="0" borderId="11" xfId="0" applyBorder="1" applyFont="1" applyNumberFormat="1"/>
    <xf numFmtId="0" fontId="0" fillId="0" borderId="0" xfId="0" applyFont="1" applyFill="1"/>
    <xf numFmtId="3" fontId="0" fillId="0" borderId="0" xfId="0" applyFont="1" applyNumberFormat="1"/>
    <xf numFmtId="0" fontId="58" fillId="0" borderId="0" xfId="0" applyFont="1"/>
    <xf numFmtId="9" fontId="0" fillId="0" borderId="0" xfId="0" applyNumberFormat="1"/>
    <xf numFmtId="3" fontId="60" fillId="0" borderId="0" xfId="0" applyAlignment="1" applyFont="1" applyNumberFormat="1">
      <alignment horizontal="center" vertical="center"/>
    </xf>
    <xf numFmtId="165" fontId="0" fillId="0" borderId="0" xfId="0" applyNumberFormat="1"/>
    <xf numFmtId="4" fontId="0" fillId="0" borderId="20" xfId="0" applyAlignment="1" applyBorder="1" applyNumberFormat="1" applyFill="1">
      <alignment horizontal="right"/>
    </xf>
    <xf numFmtId="3" fontId="0" fillId="19" borderId="12" xfId="0" applyBorder="1" applyNumberFormat="1" applyFill="1"/>
    <xf numFmtId="1" fontId="0" fillId="19" borderId="12" xfId="0" applyBorder="1" applyNumberFormat="1" applyFill="1"/>
    <xf numFmtId="9" fontId="61" fillId="0" borderId="0" xfId="0" applyFont="1" applyNumberFormat="1"/>
    <xf numFmtId="0" fontId="63" fillId="0" borderId="0" xfId="0" applyAlignment="1" applyFont="1"/>
    <xf numFmtId="0" fontId="0" fillId="0" borderId="0" xfId="0" applyAlignment="1"/>
    <xf numFmtId="3" fontId="1" fillId="0" borderId="21" xfId="0" applyAlignment="1" applyBorder="1" applyFont="1" applyNumberFormat="1" applyFill="1" quotePrefix="1">
      <alignment horizontal="right" wrapText="1"/>
    </xf>
    <xf numFmtId="0" fontId="0" fillId="0" borderId="10" xfId="0" applyAlignment="1" applyBorder="1">
      <alignment horizontal="center"/>
    </xf>
    <xf numFmtId="0" fontId="0" fillId="0" borderId="10" xfId="0" applyBorder="1"/>
    <xf numFmtId="0" fontId="1" fillId="19" borderId="10" xfId="0" applyAlignment="1" applyBorder="1" applyFont="1" applyFill="1">
      <alignment horizontal="right"/>
    </xf>
    <xf numFmtId="0" fontId="1" fillId="0" borderId="10" xfId="0" applyAlignment="1" applyBorder="1" applyFont="1" applyFill="1">
      <alignment horizontal="right" wrapText="1"/>
    </xf>
    <xf numFmtId="0" fontId="1" fillId="0" borderId="10" xfId="0" applyAlignment="1" applyBorder="1" applyFont="1" applyFill="1">
      <alignment horizontal="right"/>
    </xf>
    <xf numFmtId="0" fontId="45" fillId="0" borderId="10" xfId="0" applyBorder="1" applyFont="1"/>
    <xf numFmtId="0" fontId="46" fillId="0" borderId="10" xfId="0" applyBorder="1" applyFont="1"/>
    <xf numFmtId="0" fontId="47" fillId="0" borderId="10" xfId="0" applyBorder="1" applyFont="1"/>
    <xf numFmtId="0" fontId="48" fillId="19" borderId="10" xfId="0" applyBorder="1" applyFont="1" applyFill="1"/>
    <xf numFmtId="0" fontId="48" fillId="0" borderId="10" xfId="0" applyBorder="1" applyFont="1"/>
    <xf numFmtId="0" fontId="49" fillId="0" borderId="10" xfId="0" applyBorder="1" applyFont="1"/>
    <xf numFmtId="167" fontId="46" fillId="19" borderId="10" xfId="0" applyBorder="1" applyFont="1" applyNumberFormat="1" applyFill="1"/>
    <xf numFmtId="167" fontId="46" fillId="0" borderId="10" xfId="0" applyBorder="1" applyFont="1" applyNumberFormat="1"/>
    <xf numFmtId="0" fontId="50" fillId="0" borderId="10" xfId="0" applyBorder="1" applyFont="1"/>
    <xf numFmtId="167" fontId="51" fillId="19" borderId="10" xfId="0" applyBorder="1" applyFont="1" applyNumberFormat="1" applyFill="1"/>
    <xf numFmtId="0" fontId="51" fillId="0" borderId="10" xfId="0" applyBorder="1" applyFont="1"/>
    <xf numFmtId="0" fontId="52" fillId="0" borderId="10" xfId="0" applyBorder="1" applyFont="1"/>
    <xf numFmtId="0" fontId="53" fillId="0" borderId="10" xfId="0" applyBorder="1" applyFont="1"/>
    <xf numFmtId="167" fontId="54" fillId="0" borderId="10" xfId="0" applyBorder="1" applyFont="1" applyNumberFormat="1"/>
    <xf numFmtId="0" fontId="54" fillId="0" borderId="10" xfId="0" applyBorder="1" applyFont="1"/>
    <xf numFmtId="0" fontId="55" fillId="0" borderId="10" xfId="0" applyBorder="1" applyFont="1"/>
    <xf numFmtId="167" fontId="0" fillId="0" borderId="10" xfId="0" applyBorder="1" applyNumberFormat="1"/>
    <xf numFmtId="0" fontId="56" fillId="21" borderId="10" xfId="0" applyBorder="1" applyFont="1" applyFill="1"/>
    <xf numFmtId="167" fontId="57" fillId="21" borderId="10" xfId="0" applyBorder="1" applyFont="1" applyNumberFormat="1" applyFill="1"/>
    <xf numFmtId="0" fontId="57" fillId="0" borderId="10" xfId="0" applyBorder="1" applyFont="1"/>
    <xf numFmtId="0" fontId="57" fillId="21" borderId="10" xfId="0" applyBorder="1" applyFont="1" applyFill="1"/>
    <xf numFmtId="9" fontId="61" fillId="0" borderId="10" xfId="0" applyBorder="1" applyFont="1" applyNumberFormat="1"/>
    <xf numFmtId="0" fontId="0" fillId="0" borderId="12" xfId="0" applyAlignment="1" applyBorder="1" applyFill="1">
      <alignment horizontal="right"/>
    </xf>
    <xf numFmtId="0" fontId="0" fillId="0" borderId="12" xfId="0" applyBorder="1" applyFill="1"/>
    <xf numFmtId="0" fontId="0" fillId="0" borderId="20" xfId="0" applyAlignment="1" applyBorder="1" applyFill="1">
      <alignment horizontal="right"/>
    </xf>
    <xf numFmtId="166" fontId="0" fillId="0" borderId="12" xfId="0" applyBorder="1" applyNumberFormat="1" applyFill="1"/>
    <xf numFmtId="166" fontId="1" fillId="0" borderId="10" xfId="0" applyBorder="1" applyFont="1" applyNumberFormat="1" applyFill="1"/>
    <xf numFmtId="3" fontId="1" fillId="0" borderId="11" xfId="0" applyBorder="1" applyFont="1" applyNumberFormat="1" applyFill="1"/>
    <xf numFmtId="3" fontId="1" fillId="0" borderId="11" xfId="0" applyAlignment="1" applyBorder="1" applyFont="1" applyNumberFormat="1" applyFill="1"/>
    <xf numFmtId="165" fontId="0" fillId="0" borderId="12" xfId="0" applyBorder="1" applyNumberFormat="1" applyFill="1"/>
    <xf numFmtId="0" fontId="24" fillId="0" borderId="0" xfId="0" applyFont="1"/>
    <xf numFmtId="0" fontId="0" fillId="0" borderId="0" xfId="0" applyAlignment="1" applyFont="1">
      <alignment wrapText="1"/>
    </xf>
    <xf numFmtId="0" fontId="23" fillId="0" borderId="0" xfId="2" applyFont="1"/>
    <xf numFmtId="0" fontId="23" fillId="0" borderId="10" xfId="2" applyBorder="1" applyFont="1"/>
    <xf numFmtId="8" fontId="23" fillId="0" borderId="10" xfId="2" applyBorder="1" applyFont="1" applyNumberFormat="1"/>
    <xf numFmtId="0" fontId="23" fillId="0" borderId="23" xfId="2" applyBorder="1" applyFont="1" applyFill="1"/>
    <xf numFmtId="0" fontId="23" fillId="0" borderId="24" xfId="2" applyBorder="1" applyFont="1" applyFill="1"/>
    <xf numFmtId="9" fontId="23" fillId="0" borderId="0" xfId="2" applyFont="1" applyNumberFormat="1"/>
    <xf numFmtId="0" fontId="23" fillId="0" borderId="14" xfId="2" applyBorder="1" applyFont="1"/>
    <xf numFmtId="0" fontId="23" fillId="0" borderId="15" xfId="2" applyBorder="1" applyFont="1"/>
    <xf numFmtId="10" fontId="23" fillId="0" borderId="15" xfId="2" applyBorder="1" applyFont="1" applyNumberFormat="1"/>
    <xf numFmtId="0" fontId="23" fillId="19" borderId="10" xfId="2" applyBorder="1" applyFont="1" applyFill="1"/>
    <xf numFmtId="8" fontId="23" fillId="19" borderId="10" xfId="2" applyBorder="1" applyFont="1" applyNumberFormat="1" applyFill="1"/>
    <xf numFmtId="0" fontId="23" fillId="19" borderId="14" xfId="2" applyBorder="1" applyFont="1" applyFill="1"/>
    <xf numFmtId="10" fontId="23" fillId="19" borderId="15" xfId="2" applyBorder="1" applyFont="1" applyNumberFormat="1" applyFill="1"/>
    <xf numFmtId="0" fontId="23" fillId="0" borderId="18" xfId="2" applyBorder="1" applyFont="1"/>
    <xf numFmtId="10" fontId="23" fillId="0" borderId="19" xfId="2" applyBorder="1" applyFont="1" applyNumberFormat="1"/>
    <xf numFmtId="0" fontId="64" fillId="0" borderId="0" xfId="2" applyAlignment="1" applyBorder="1" applyFont="1"/>
    <xf numFmtId="0" fontId="23" fillId="0" borderId="0" xfId="2" applyAlignment="1" applyBorder="1" applyFont="1"/>
    <xf numFmtId="0" fontId="23" fillId="0" borderId="20" xfId="2" applyAlignment="1" applyBorder="1" applyFont="1" applyNumberFormat="1">
      <alignment horizontal="center" vertical="center" wrapText="1"/>
    </xf>
    <xf numFmtId="165" fontId="65" fillId="0" borderId="10" xfId="2" applyAlignment="1" applyBorder="1" applyFont="1" applyNumberFormat="1" applyFill="1">
      <alignment horizontal="center"/>
    </xf>
    <xf numFmtId="168" fontId="65" fillId="0" borderId="10" xfId="2" applyAlignment="1" applyBorder="1" applyFont="1" applyNumberFormat="1" applyFill="1">
      <alignment horizontal="center"/>
    </xf>
    <xf numFmtId="168" fontId="65" fillId="0" borderId="25" xfId="2" applyAlignment="1" applyBorder="1" applyFont="1" applyNumberFormat="1" applyFill="1">
      <alignment horizontal="center"/>
    </xf>
    <xf numFmtId="42" fontId="66" fillId="0" borderId="10" xfId="73" applyBorder="1" applyFont="1" applyNumberFormat="1"/>
    <xf numFmtId="42" fontId="65" fillId="0" borderId="10" xfId="2" applyAlignment="1" applyBorder="1" applyFont="1" applyNumberFormat="1">
      <alignment horizontal="center"/>
    </xf>
    <xf numFmtId="0" fontId="67" fillId="0" borderId="0" xfId="2" applyFont="1"/>
    <xf numFmtId="0" fontId="23" fillId="0" borderId="0" xfId="2" applyBorder="1" applyFont="1" applyFill="1"/>
    <xf numFmtId="0" fontId="23" fillId="0" borderId="0" xfId="2" applyAlignment="1" applyFont="1"/>
    <xf numFmtId="0" fontId="23" fillId="0" borderId="10" xfId="2" applyAlignment="1" applyBorder="1" applyFont="1">
      <alignment wrapText="1"/>
    </xf>
    <xf numFmtId="0" fontId="67" fillId="0" borderId="10" xfId="2" applyBorder="1" applyFont="1"/>
    <xf numFmtId="0" fontId="23" fillId="0" borderId="13" xfId="2" applyAlignment="1" applyBorder="1" applyFont="1" applyNumberFormat="1">
      <alignment horizontal="center" vertical="center" wrapText="1"/>
    </xf>
    <xf numFmtId="0" fontId="23" fillId="0" borderId="10" xfId="2" applyAlignment="1" applyBorder="1" applyFont="1" applyNumberFormat="1">
      <alignment horizontal="center" vertical="center" wrapText="1"/>
    </xf>
    <xf numFmtId="0" fontId="23" fillId="0" borderId="19" xfId="2" applyAlignment="1" applyBorder="1" applyFont="1" applyNumberFormat="1">
      <alignment horizontal="center" vertical="center" wrapText="1"/>
    </xf>
    <xf numFmtId="0" fontId="23" fillId="0" borderId="26" xfId="2" applyBorder="1" applyFont="1"/>
    <xf numFmtId="0" fontId="23" fillId="0" borderId="26" xfId="2" applyAlignment="1" applyBorder="1" applyFont="1">
      <alignment horizontal="center"/>
    </xf>
    <xf numFmtId="0" fontId="67" fillId="0" borderId="10" xfId="2" applyAlignment="1" applyBorder="1" applyFont="1">
      <alignment wrapText="1"/>
    </xf>
    <xf numFmtId="0" fontId="23" fillId="0" borderId="13" xfId="2" applyAlignment="1" applyBorder="1" applyFont="1" applyFill="1" quotePrefix="1">
      <alignment horizontal="center"/>
    </xf>
    <xf numFmtId="169" fontId="23" fillId="0" borderId="10" xfId="2" applyAlignment="1" applyBorder="1" applyFont="1" applyNumberFormat="1" applyFill="1" applyProtection="1">
      <alignment horizontal="center"/>
    </xf>
    <xf numFmtId="165" fontId="23" fillId="0" borderId="13" xfId="2" applyAlignment="1" applyBorder="1" applyFont="1" applyNumberFormat="1" applyFill="1">
      <alignment horizontal="center"/>
    </xf>
    <xf numFmtId="8" fontId="23" fillId="0" borderId="13" xfId="2" applyBorder="1" applyFont="1" applyNumberFormat="1"/>
    <xf numFmtId="168" fontId="23" fillId="0" borderId="13" xfId="2" applyAlignment="1" applyBorder="1" applyFont="1" applyNumberFormat="1" applyFill="1">
      <alignment horizontal="center"/>
    </xf>
    <xf numFmtId="168" fontId="23" fillId="0" borderId="0" xfId="2" applyFont="1" applyNumberFormat="1"/>
    <xf numFmtId="49" fontId="23" fillId="0" borderId="13" xfId="2" applyAlignment="1" applyBorder="1" applyFont="1" applyNumberFormat="1" applyFill="1" quotePrefix="1">
      <alignment horizontal="center"/>
    </xf>
    <xf numFmtId="17" fontId="23" fillId="0" borderId="13" xfId="2" applyAlignment="1" applyBorder="1" applyFont="1" applyNumberFormat="1" applyFill="1" quotePrefix="1">
      <alignment horizontal="center"/>
    </xf>
    <xf numFmtId="169" fontId="23" fillId="0" borderId="10" xfId="2" applyAlignment="1" applyBorder="1" applyFont="1" applyNumberFormat="1" applyProtection="1">
      <alignment horizontal="center"/>
    </xf>
    <xf numFmtId="0" fontId="23" fillId="0" borderId="10" xfId="2" applyAlignment="1" applyBorder="1" applyFont="1" applyFill="1">
      <alignment horizontal="center"/>
    </xf>
    <xf numFmtId="165" fontId="23" fillId="0" borderId="10" xfId="2" applyAlignment="1" applyBorder="1" applyFont="1" applyNumberFormat="1" applyFill="1">
      <alignment horizontal="center"/>
    </xf>
    <xf numFmtId="168" fontId="23" fillId="0" borderId="10" xfId="2" applyAlignment="1" applyBorder="1" applyFont="1" applyNumberFormat="1" applyFill="1">
      <alignment horizontal="center"/>
    </xf>
    <xf numFmtId="0" fontId="23" fillId="0" borderId="10" xfId="2" applyAlignment="1" applyBorder="1" applyFont="1">
      <alignment horizontal="center"/>
    </xf>
    <xf numFmtId="8" fontId="23" fillId="0" borderId="0" xfId="2" applyBorder="1" applyFont="1" applyNumberFormat="1" applyFill="1"/>
    <xf numFmtId="0" fontId="68" fillId="0" borderId="0" xfId="2" applyFont="1"/>
    <xf numFmtId="0" fontId="23" fillId="0" borderId="0" xfId="2" applyBorder="1" applyFont="1"/>
    <xf numFmtId="8" fontId="23" fillId="0" borderId="0" xfId="2" applyBorder="1" applyFont="1" applyNumberFormat="1"/>
    <xf numFmtId="10" fontId="23" fillId="0" borderId="0" xfId="2" applyBorder="1" applyFont="1" applyNumberFormat="1"/>
    <xf numFmtId="0" fontId="69" fillId="0" borderId="0" xfId="2" applyFont="1"/>
    <xf numFmtId="0" fontId="70" fillId="0" borderId="0" xfId="2" applyFont="1"/>
    <xf numFmtId="0" fontId="64" fillId="0" borderId="0" xfId="2" applyFont="1"/>
    <xf numFmtId="0" fontId="70" fillId="0" borderId="0" xfId="2" applyBorder="1" applyFont="1" applyFill="1"/>
    <xf numFmtId="8" fontId="70" fillId="0" borderId="0" xfId="2" applyBorder="1" applyFont="1" applyNumberFormat="1" applyFill="1"/>
    <xf numFmtId="0" fontId="70" fillId="0" borderId="0" xfId="2" applyBorder="1" applyFont="1"/>
    <xf numFmtId="8" fontId="70" fillId="0" borderId="0" xfId="2" applyBorder="1" applyFont="1" applyNumberFormat="1"/>
    <xf numFmtId="10" fontId="70" fillId="0" borderId="0" xfId="2" applyBorder="1" applyFont="1" applyNumberFormat="1"/>
    <xf numFmtId="17" fontId="1" fillId="0" borderId="0" xfId="2" applyFont="1" applyNumberFormat="1"/>
    <xf numFmtId="0" fontId="1" fillId="0" borderId="10" xfId="2" applyAlignment="1" applyBorder="1" applyFont="1">
      <alignment horizontal="center"/>
    </xf>
    <xf numFmtId="0" fontId="1" fillId="0" borderId="10" xfId="2" applyAlignment="1" applyBorder="1" applyFont="1" applyFill="1">
      <alignment horizontal="center"/>
    </xf>
    <xf numFmtId="0" fontId="1" fillId="0" borderId="10" xfId="2" applyBorder="1" applyFont="1"/>
    <xf numFmtId="0" fontId="1" fillId="0" borderId="0" xfId="2" applyBorder="1" applyFont="1"/>
    <xf numFmtId="164" fontId="23" fillId="0" borderId="16" xfId="2" applyAlignment="1" applyBorder="1" applyFont="1" applyNumberFormat="1">
      <alignment horizontal="center"/>
    </xf>
    <xf numFmtId="0" fontId="1" fillId="0" borderId="16" xfId="2" applyAlignment="1" applyBorder="1" applyFont="1">
      <alignment horizontal="center"/>
    </xf>
    <xf numFmtId="165" fontId="23" fillId="0" borderId="10" xfId="2" applyBorder="1" applyFont="1" applyNumberFormat="1"/>
    <xf numFmtId="8" fontId="23" fillId="0" borderId="16" xfId="2" applyBorder="1" applyFont="1" applyNumberFormat="1" applyFill="1"/>
    <xf numFmtId="0" fontId="23" fillId="0" borderId="20" xfId="2" applyBorder="1" applyFont="1"/>
    <xf numFmtId="0" fontId="23" fillId="0" borderId="12" xfId="2" applyBorder="1" applyFont="1"/>
    <xf numFmtId="0" fontId="23" fillId="0" borderId="13" xfId="2" applyBorder="1" applyFont="1"/>
    <xf numFmtId="165" fontId="23" fillId="0" borderId="0" xfId="2" applyBorder="1" applyFont="1" applyNumberFormat="1"/>
    <xf numFmtId="0" fontId="67" fillId="0" borderId="0" xfId="2" applyBorder="1" applyFont="1"/>
    <xf numFmtId="0" fontId="23" fillId="0" borderId="0" xfId="2" applyAlignment="1" applyFont="1">
      <alignment horizontal="right"/>
    </xf>
    <xf numFmtId="0" fontId="23" fillId="19" borderId="10" xfId="2" applyAlignment="1" applyBorder="1" applyFont="1" applyFill="1">
      <alignment horizontal="right"/>
    </xf>
    <xf numFmtId="44" fontId="23" fillId="0" borderId="0" xfId="2" applyFont="1" applyNumberFormat="1"/>
    <xf numFmtId="0" fontId="1" fillId="0" borderId="10" xfId="2" applyAlignment="1" applyBorder="1" applyFont="1">
      <alignment horizontal="left"/>
    </xf>
    <xf numFmtId="49" fontId="71" fillId="0" borderId="10" xfId="2" applyAlignment="1" applyBorder="1" applyFont="1" applyNumberFormat="1" applyFill="1">
      <alignment horizontal="left"/>
    </xf>
    <xf numFmtId="49" fontId="72" fillId="0" borderId="10" xfId="2" applyAlignment="1" applyBorder="1" applyFont="1" applyNumberFormat="1" applyFill="1">
      <alignment horizontal="left"/>
    </xf>
    <xf numFmtId="0" fontId="72" fillId="0" borderId="10" xfId="2" applyAlignment="1" applyBorder="1" applyFont="1" applyFill="1">
      <alignment horizontal="right"/>
    </xf>
    <xf numFmtId="0" fontId="23" fillId="0" borderId="23" xfId="2" applyBorder="1" applyFont="1"/>
    <xf numFmtId="0" fontId="23" fillId="0" borderId="22" xfId="2" applyBorder="1" applyFont="1"/>
    <xf numFmtId="9" fontId="23" fillId="0" borderId="24" xfId="2" applyAlignment="1" applyBorder="1" applyFont="1" applyNumberFormat="1">
      <alignment horizontal="left"/>
    </xf>
    <xf numFmtId="0" fontId="23" fillId="0" borderId="15" xfId="2" applyAlignment="1" applyBorder="1" applyFont="1">
      <alignment horizontal="left"/>
    </xf>
    <xf numFmtId="0" fontId="23" fillId="0" borderId="27" xfId="2" applyBorder="1" applyFont="1"/>
    <xf numFmtId="0" fontId="23" fillId="0" borderId="19" xfId="2" applyAlignment="1" applyBorder="1" applyFont="1">
      <alignment horizontal="left"/>
    </xf>
    <xf numFmtId="0" fontId="23" fillId="0" borderId="0" xfId="2" applyAlignment="1" applyBorder="1" applyFont="1">
      <alignment horizontal="left"/>
    </xf>
    <xf numFmtId="0" fontId="23" fillId="0" borderId="28" xfId="2" applyBorder="1" applyFont="1"/>
    <xf numFmtId="0" fontId="23" fillId="0" borderId="29" xfId="2" applyBorder="1" applyFont="1"/>
    <xf numFmtId="0" fontId="23" fillId="0" borderId="30" xfId="2" applyBorder="1" applyFont="1"/>
    <xf numFmtId="0" fontId="23" fillId="0" borderId="31" xfId="2" applyBorder="1" applyFont="1"/>
    <xf numFmtId="0" fontId="23" fillId="0" borderId="32" xfId="2" applyBorder="1" applyFont="1"/>
    <xf numFmtId="0" fontId="23" fillId="0" borderId="33" xfId="2" applyAlignment="1" applyBorder="1" applyFont="1" applyNumberFormat="1">
      <alignment horizontal="center" vertical="center" wrapText="1"/>
    </xf>
    <xf numFmtId="0" fontId="23" fillId="0" borderId="34" xfId="2" applyAlignment="1" applyBorder="1" applyFont="1" applyNumberFormat="1">
      <alignment horizontal="center" vertical="center" wrapText="1"/>
    </xf>
    <xf numFmtId="0" fontId="23" fillId="0" borderId="35" xfId="2" applyAlignment="1" applyBorder="1" applyFont="1" applyNumberFormat="1">
      <alignment horizontal="center" vertical="center" wrapText="1"/>
    </xf>
    <xf numFmtId="0" fontId="23" fillId="0" borderId="36" xfId="2" applyBorder="1" applyFont="1"/>
    <xf numFmtId="0" fontId="23" fillId="0" borderId="17" xfId="2" applyAlignment="1" applyBorder="1" applyFont="1" applyNumberFormat="1">
      <alignment horizontal="center" vertical="center" wrapText="1"/>
    </xf>
    <xf numFmtId="0" fontId="23" fillId="0" borderId="25" xfId="2" applyAlignment="1" applyBorder="1" applyFont="1" applyNumberFormat="1">
      <alignment horizontal="center" vertical="center" wrapText="1"/>
    </xf>
    <xf numFmtId="0" fontId="65" fillId="22" borderId="20" xfId="2" applyBorder="1" applyFont="1" applyFill="1"/>
    <xf numFmtId="0" fontId="65" fillId="22" borderId="17" xfId="2" applyAlignment="1" applyBorder="1" applyFont="1" applyFill="1">
      <alignment horizontal="center"/>
    </xf>
    <xf numFmtId="165" fontId="65" fillId="0" borderId="10" xfId="2" applyAlignment="1" applyBorder="1" applyFont="1" applyNumberFormat="1">
      <alignment horizontal="center"/>
    </xf>
    <xf numFmtId="0" fontId="65" fillId="22" borderId="13" xfId="2" applyBorder="1" applyFont="1" applyFill="1"/>
    <xf numFmtId="42" fontId="65" fillId="0" borderId="10" xfId="2" applyBorder="1" applyFont="1" applyNumberFormat="1"/>
    <xf numFmtId="0" fontId="65" fillId="22" borderId="12" xfId="2" applyBorder="1" applyFont="1" applyFill="1"/>
    <xf numFmtId="0" fontId="65" fillId="22" borderId="24" xfId="2" applyAlignment="1" applyBorder="1" applyFont="1" applyFill="1">
      <alignment horizontal="center"/>
    </xf>
    <xf numFmtId="165" fontId="65" fillId="0" borderId="20" xfId="2" applyAlignment="1" applyBorder="1" applyFont="1" applyNumberFormat="1">
      <alignment horizontal="center"/>
    </xf>
    <xf numFmtId="165" fontId="65" fillId="0" borderId="20" xfId="2" applyAlignment="1" applyBorder="1" applyFont="1" applyNumberFormat="1" applyFill="1">
      <alignment horizontal="center"/>
    </xf>
    <xf numFmtId="0" fontId="65" fillId="22" borderId="14" xfId="2" applyBorder="1" applyFont="1" applyFill="1"/>
    <xf numFmtId="0" fontId="65" fillId="22" borderId="10" xfId="2" applyAlignment="1" applyBorder="1" applyFont="1" applyFill="1">
      <alignment horizontal="center"/>
    </xf>
    <xf numFmtId="0" fontId="65" fillId="22" borderId="18" xfId="2" applyBorder="1" applyFont="1" applyFill="1"/>
    <xf numFmtId="0" fontId="65" fillId="22" borderId="23" xfId="2" applyBorder="1" applyFont="1" applyFill="1"/>
    <xf numFmtId="0" fontId="65" fillId="22" borderId="37" xfId="2" applyBorder="1" applyFont="1" applyFill="1"/>
    <xf numFmtId="0" fontId="65" fillId="22" borderId="38" xfId="2" applyAlignment="1" applyBorder="1" applyFont="1" applyFill="1">
      <alignment horizontal="center"/>
    </xf>
    <xf numFmtId="42" fontId="65" fillId="0" borderId="38" xfId="2" applyBorder="1" applyFont="1" applyNumberFormat="1"/>
    <xf numFmtId="165" fontId="65" fillId="0" borderId="38" xfId="2" applyAlignment="1" applyBorder="1" applyFont="1" applyNumberFormat="1">
      <alignment horizontal="center"/>
    </xf>
    <xf numFmtId="165" fontId="65" fillId="0" borderId="38" xfId="2" applyAlignment="1" applyBorder="1" applyFont="1" applyNumberFormat="1" applyFill="1">
      <alignment horizontal="center"/>
    </xf>
    <xf numFmtId="168" fontId="65" fillId="0" borderId="38" xfId="2" applyAlignment="1" applyBorder="1" applyFont="1" applyNumberFormat="1" applyFill="1">
      <alignment horizontal="center"/>
    </xf>
    <xf numFmtId="168" fontId="65" fillId="0" borderId="39" xfId="2" applyAlignment="1" applyBorder="1" applyFont="1" applyNumberFormat="1" applyFill="1">
      <alignment horizontal="center"/>
    </xf>
    <xf numFmtId="3" fontId="11" fillId="20" borderId="0" xfId="0" applyAlignment="1" applyBorder="1" applyFont="1" applyNumberFormat="1" applyFill="1">
      <alignment horizontal="right" vertical="center"/>
    </xf>
    <xf numFmtId="0" fontId="0" fillId="20" borderId="0" xfId="0" applyFill="1"/>
    <xf numFmtId="0" fontId="62" fillId="0" borderId="10" xfId="0" applyAlignment="1" applyBorder="1" applyFont="1">
      <alignment horizontal="center"/>
    </xf>
    <xf numFmtId="0" fontId="1" fillId="0" borderId="10" xfId="0" applyAlignment="1" applyBorder="1" applyFont="1">
      <alignment horizontal="center"/>
    </xf>
    <xf numFmtId="0" fontId="1" fillId="0" borderId="27" xfId="0" applyAlignment="1" applyBorder="1" applyFont="1">
      <alignment horizontal="center"/>
    </xf>
    <xf numFmtId="0" fontId="1" fillId="19" borderId="23" xfId="0" applyAlignment="1" applyBorder="1" applyFont="1" applyFill="1">
      <alignment horizontal="center"/>
    </xf>
    <xf numFmtId="0" fontId="1" fillId="19" borderId="22" xfId="0" applyAlignment="1" applyBorder="1" applyFont="1" applyFill="1">
      <alignment horizontal="center"/>
    </xf>
    <xf numFmtId="0" fontId="1" fillId="19" borderId="24" xfId="0" applyAlignment="1" applyBorder="1" applyFont="1" applyFill="1">
      <alignment horizontal="center"/>
    </xf>
    <xf numFmtId="3" fontId="1" fillId="0" borderId="0" xfId="0" applyAlignment="1" applyFont="1" applyNumberFormat="1">
      <alignment horizontal="center"/>
    </xf>
    <xf numFmtId="0" fontId="64" fillId="0" borderId="0" xfId="2" applyAlignment="1" applyFont="1"/>
    <xf numFmtId="0" fontId="23" fillId="0" borderId="16" xfId="2" applyAlignment="1" applyBorder="1" applyFont="1" applyNumberFormat="1">
      <alignment horizontal="center" vertical="center" wrapText="1"/>
    </xf>
    <xf numFmtId="0" fontId="23" fillId="0" borderId="36" xfId="2" applyAlignment="1" applyBorder="1" applyFont="1" applyNumberFormat="1">
      <alignment horizontal="center" vertical="center" wrapText="1"/>
    </xf>
    <xf numFmtId="0" fontId="64" fillId="0" borderId="29" xfId="2" applyAlignment="1" applyBorder="1" applyFont="1"/>
    <xf numFmtId="0" fontId="7" fillId="0" borderId="40" xfId="0" applyAlignment="1" applyBorder="1" applyFont="1">
      <alignment horizontal="center" vertical="center" wrapText="1"/>
    </xf>
    <xf numFmtId="0" fontId="0" fillId="0" borderId="30" xfId="0" applyAlignment="1" applyBorder="1">
      <alignment horizontal="center" vertical="center" wrapText="1"/>
    </xf>
    <xf numFmtId="0" fontId="73" fillId="0" borderId="0" xfId="74" applyFont="1"/>
    <xf numFmtId="0" fontId="23" fillId="0" borderId="0" xfId="74" applyFont="1"/>
    <xf numFmtId="0" fontId="73" fillId="0" borderId="10" xfId="74" applyBorder="1" applyFont="1"/>
    <xf numFmtId="8" fontId="73" fillId="0" borderId="10" xfId="74" applyBorder="1" applyFont="1" applyNumberFormat="1"/>
    <xf numFmtId="0" fontId="73" fillId="0" borderId="23" xfId="74" applyBorder="1" applyFont="1" applyFill="1"/>
    <xf numFmtId="0" fontId="73" fillId="0" borderId="24" xfId="74" applyBorder="1" applyFont="1" applyFill="1"/>
    <xf numFmtId="10" fontId="73" fillId="0" borderId="0" xfId="74" applyFont="1" applyNumberFormat="1"/>
    <xf numFmtId="9" fontId="73" fillId="0" borderId="0" xfId="74" applyFont="1" applyNumberFormat="1"/>
    <xf numFmtId="0" fontId="73" fillId="0" borderId="14" xfId="74" applyBorder="1" applyFont="1"/>
    <xf numFmtId="0" fontId="73" fillId="0" borderId="15" xfId="74" applyBorder="1" applyFont="1"/>
    <xf numFmtId="10" fontId="73" fillId="0" borderId="15" xfId="74" applyBorder="1" applyFont="1" applyNumberFormat="1"/>
    <xf numFmtId="0" fontId="73" fillId="19" borderId="10" xfId="74" applyBorder="1" applyFont="1" applyFill="1"/>
    <xf numFmtId="8" fontId="73" fillId="19" borderId="10" xfId="74" applyBorder="1" applyFont="1" applyNumberFormat="1" applyFill="1"/>
    <xf numFmtId="0" fontId="73" fillId="19" borderId="14" xfId="74" applyBorder="1" applyFont="1" applyFill="1"/>
    <xf numFmtId="10" fontId="73" fillId="19" borderId="15" xfId="74" applyBorder="1" applyFont="1" applyNumberFormat="1" applyFill="1"/>
    <xf numFmtId="0" fontId="73" fillId="0" borderId="18" xfId="74" applyBorder="1" applyFont="1"/>
    <xf numFmtId="10" fontId="73" fillId="0" borderId="19" xfId="74" applyBorder="1" applyFont="1" applyNumberFormat="1"/>
    <xf numFmtId="0" fontId="64" fillId="0" borderId="21" xfId="74" applyAlignment="1" applyBorder="1" applyFont="1"/>
    <xf numFmtId="0" fontId="73" fillId="0" borderId="21" xfId="74" applyAlignment="1" applyBorder="1" applyFont="1"/>
    <xf numFmtId="0" fontId="64" fillId="0" borderId="0" xfId="74" applyAlignment="1" applyBorder="1" applyFont="1"/>
    <xf numFmtId="0" fontId="73" fillId="0" borderId="0" xfId="74" applyAlignment="1" applyBorder="1" applyFont="1"/>
    <xf numFmtId="0" fontId="73" fillId="0" borderId="41" xfId="74" applyAlignment="1" applyBorder="1" applyFont="1">
      <alignment horizontal="center" vertical="center"/>
    </xf>
    <xf numFmtId="0" fontId="73" fillId="0" borderId="42" xfId="74" applyAlignment="1" applyBorder="1" applyFont="1" applyNumberFormat="1">
      <alignment horizontal="center" vertical="center" wrapText="1"/>
    </xf>
    <xf numFmtId="0" fontId="73" fillId="0" borderId="43" xfId="74" applyAlignment="1" applyBorder="1" applyFont="1" applyNumberFormat="1">
      <alignment horizontal="center" vertical="center" wrapText="1"/>
    </xf>
    <xf numFmtId="0" fontId="73" fillId="0" borderId="44" xfId="74" applyAlignment="1" applyBorder="1" applyFont="1" applyNumberFormat="1">
      <alignment horizontal="center" vertical="center" wrapText="1"/>
    </xf>
    <xf numFmtId="0" fontId="73" fillId="0" borderId="32" xfId="74" applyAlignment="1" applyBorder="1" applyFont="1" applyNumberFormat="1">
      <alignment horizontal="center" vertical="center" wrapText="1"/>
    </xf>
    <xf numFmtId="0" fontId="73" fillId="0" borderId="33" xfId="74" applyAlignment="1" applyBorder="1" applyFont="1" applyNumberFormat="1">
      <alignment horizontal="center" vertical="center" wrapText="1"/>
    </xf>
    <xf numFmtId="0" fontId="73" fillId="0" borderId="45" xfId="74" applyAlignment="1" applyBorder="1" applyFont="1" applyNumberFormat="1">
      <alignment horizontal="center" vertical="center" wrapText="1"/>
    </xf>
    <xf numFmtId="0" fontId="73" fillId="0" borderId="46" xfId="74" applyBorder="1" applyFont="1"/>
    <xf numFmtId="0" fontId="73" fillId="0" borderId="15" xfId="74" applyAlignment="1" applyBorder="1" applyFont="1" applyNumberFormat="1">
      <alignment horizontal="center" vertical="center" wrapText="1"/>
    </xf>
    <xf numFmtId="0" fontId="73" fillId="0" borderId="12" xfId="74" applyAlignment="1" applyBorder="1" applyFont="1" applyNumberFormat="1">
      <alignment horizontal="center" vertical="center" wrapText="1"/>
    </xf>
    <xf numFmtId="0" fontId="73" fillId="0" borderId="20" xfId="74" applyAlignment="1" applyBorder="1" applyFont="1" applyNumberFormat="1">
      <alignment horizontal="center" vertical="center" wrapText="1"/>
    </xf>
    <xf numFmtId="0" fontId="73" fillId="0" borderId="47" xfId="74" applyAlignment="1" applyBorder="1" applyFont="1" applyNumberFormat="1">
      <alignment horizontal="center" vertical="center" wrapText="1"/>
    </xf>
    <xf numFmtId="0" fontId="73" fillId="0" borderId="48" xfId="74" applyAlignment="1" applyBorder="1" applyFont="1">
      <alignment horizontal="center" vertical="center"/>
    </xf>
    <xf numFmtId="0" fontId="65" fillId="0" borderId="10" xfId="74" applyAlignment="1" applyBorder="1" applyFont="1" applyFill="1">
      <alignment horizontal="center"/>
    </xf>
    <xf numFmtId="42" fontId="65" fillId="0" borderId="10" xfId="74" applyAlignment="1" applyBorder="1" applyFont="1" applyNumberFormat="1">
      <alignment horizontal="center"/>
    </xf>
    <xf numFmtId="165" fontId="65" fillId="0" borderId="10" xfId="74" applyAlignment="1" applyBorder="1" applyFont="1" applyNumberFormat="1" applyFill="1">
      <alignment horizontal="center"/>
    </xf>
    <xf numFmtId="168" fontId="65" fillId="0" borderId="10" xfId="74" applyAlignment="1" applyBorder="1" applyFont="1" applyNumberFormat="1" applyFill="1">
      <alignment horizontal="center"/>
    </xf>
    <xf numFmtId="168" fontId="65" fillId="0" borderId="25" xfId="74" applyAlignment="1" applyBorder="1" applyFont="1" applyNumberFormat="1" applyFill="1">
      <alignment horizontal="center"/>
    </xf>
    <xf numFmtId="0" fontId="73" fillId="0" borderId="49" xfId="74" applyAlignment="1" applyBorder="1" applyFont="1">
      <alignment horizontal="center" vertical="center"/>
    </xf>
    <xf numFmtId="0" fontId="73" fillId="0" borderId="50" xfId="74" applyAlignment="1" applyBorder="1" applyFont="1">
      <alignment horizontal="center" vertical="center"/>
    </xf>
    <xf numFmtId="0" fontId="65" fillId="0" borderId="38" xfId="74" applyAlignment="1" applyBorder="1" applyFont="1" applyFill="1">
      <alignment horizontal="center"/>
    </xf>
    <xf numFmtId="0" fontId="73" fillId="0" borderId="51" xfId="74" applyBorder="1" applyFont="1"/>
    <xf numFmtId="0" fontId="23" fillId="0" borderId="12" xfId="74" applyAlignment="1" applyBorder="1" applyFont="1" applyNumberFormat="1">
      <alignment horizontal="center" vertical="center" wrapText="1"/>
    </xf>
    <xf numFmtId="0" fontId="73" fillId="0" borderId="49" xfId="74" applyAlignment="1" applyBorder="1" applyFont="1">
      <alignment horizontal="center" vertical="center" wrapText="1"/>
    </xf>
    <xf numFmtId="42" fontId="65" fillId="0" borderId="10" xfId="74" applyBorder="1" applyFont="1" applyNumberFormat="1"/>
    <xf numFmtId="0" fontId="73" fillId="0" borderId="50" xfId="74" applyAlignment="1" applyBorder="1" applyFont="1">
      <alignment horizontal="center" vertical="center" wrapText="1"/>
    </xf>
  </cellXfs>
  <cellStyles count="7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alculation 2 2" xfId="63"/>
    <cellStyle name="Calculation 2 3" xfId="64"/>
    <cellStyle name="Check Cell 2" xfId="30"/>
    <cellStyle name="Comma 2" xfId="31"/>
    <cellStyle name="Comma 3" xfId="73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Input 2 2" xfId="65"/>
    <cellStyle name="Input 2 3" xfId="66"/>
    <cellStyle name="Linked Cell 2" xfId="39"/>
    <cellStyle name="Neutral 2" xfId="40"/>
    <cellStyle name="Normal" xfId="0" builtinId="0"/>
    <cellStyle name="Normal 2" xfId="2"/>
    <cellStyle name="Normal 2 2" xfId="51"/>
    <cellStyle name="Normal 3" xfId="3"/>
    <cellStyle name="Normal 3 2" xfId="52"/>
    <cellStyle name="Normal 4" xfId="41"/>
    <cellStyle name="Normal 4 2" xfId="53"/>
    <cellStyle name="Normal 4 2 2" xfId="54"/>
    <cellStyle name="Normal 4 3" xfId="55"/>
    <cellStyle name="Normal 5" xfId="56"/>
    <cellStyle name="Normal 5 2" xfId="57"/>
    <cellStyle name="Normal 5 2 2" xfId="58"/>
    <cellStyle name="Normal 5 3" xfId="59"/>
    <cellStyle name="Normal 6" xfId="60"/>
    <cellStyle name="Normal 6 2" xfId="61"/>
    <cellStyle name="Normal 7" xfId="62"/>
    <cellStyle name="Normal 8" xfId="74"/>
    <cellStyle name="Note 2" xfId="42"/>
    <cellStyle name="Note 2 2" xfId="67"/>
    <cellStyle name="Note 2 3" xfId="68"/>
    <cellStyle name="Output 2" xfId="43"/>
    <cellStyle name="Output 2 2" xfId="69"/>
    <cellStyle name="Output 2 3" xfId="70"/>
    <cellStyle name="Percent" xfId="1" builtinId="5"/>
    <cellStyle name="Percent 2" xfId="44"/>
    <cellStyle name="Percent 3" xfId="45"/>
    <cellStyle name="Percent 4" xfId="46"/>
    <cellStyle name="Percent 5" xfId="47"/>
    <cellStyle name="Title 2" xfId="48"/>
    <cellStyle name="Total 2" xfId="49"/>
    <cellStyle name="Total 2 2" xfId="71"/>
    <cellStyle name="Total 2 3" xfId="72"/>
    <cellStyle name="Warning Text 2" xfId="50"/>
  </cellStyles>
  <dxfs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15" Type="http://schemas.openxmlformats.org/officeDocument/2006/relationships/worksheet" Target="worksheets/sheet15.xml" /><Relationship Id="rId10" Type="http://schemas.openxmlformats.org/officeDocument/2006/relationships/worksheet" Target="worksheets/sheet10.xml" /><Relationship Id="rId5" Type="http://schemas.openxmlformats.org/officeDocument/2006/relationships/worksheet" Target="worksheets/sheet5.xml" /><Relationship Id="rId20" Type="http://schemas.openxmlformats.org/officeDocument/2006/relationships/externalLink" Target="/xl/externalLinks/externalLink4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11" Type="http://schemas.openxmlformats.org/officeDocument/2006/relationships/worksheet" Target="worksheets/sheet11.xml" /><Relationship Id="rId6" Type="http://schemas.openxmlformats.org/officeDocument/2006/relationships/worksheet" Target="worksheets/sheet6.xml" /><Relationship Id="rId1" Type="http://schemas.openxmlformats.org/officeDocument/2006/relationships/worksheet" Target="worksheets/sheet1.xml" /><Relationship Id="rId21" Type="http://schemas.openxmlformats.org/officeDocument/2006/relationships/externalLink" Target="/xl/externalLinks/externalLink5.xml" /><Relationship Id="rId7" Type="http://schemas.openxmlformats.org/officeDocument/2006/relationships/worksheet" Target="worksheets/sheet7.xml" /><Relationship Id="rId3" Type="http://schemas.openxmlformats.org/officeDocument/2006/relationships/worksheet" Target="worksheets/sheet3.xml" /><Relationship Id="rId17" Type="http://schemas.openxmlformats.org/officeDocument/2006/relationships/externalLink" Target="/xl/externalLinks/externalLink1.xml" /><Relationship Id="rId12" Type="http://schemas.openxmlformats.org/officeDocument/2006/relationships/worksheet" Target="worksheets/sheet12.xml" /><Relationship Id="rId24" Type="http://schemas.openxmlformats.org/officeDocument/2006/relationships/sharedStrings" Target="sharedStrings.xml" /><Relationship Id="rId18" Type="http://schemas.openxmlformats.org/officeDocument/2006/relationships/externalLink" Target="/xl/externalLinks/externalLink2.xml" /><Relationship Id="rId8" Type="http://schemas.openxmlformats.org/officeDocument/2006/relationships/worksheet" Target="worksheets/sheet8.xml" /><Relationship Id="rId23" Type="http://schemas.openxmlformats.org/officeDocument/2006/relationships/styles" Target="styles.xml" /><Relationship Id="rId13" Type="http://schemas.openxmlformats.org/officeDocument/2006/relationships/worksheet" Target="worksheets/sheet13.xml" /><Relationship Id="rId4" Type="http://schemas.openxmlformats.org/officeDocument/2006/relationships/worksheet" Target="worksheets/sheet4.xml" /><Relationship Id="rId19" Type="http://schemas.openxmlformats.org/officeDocument/2006/relationships/externalLink" Target="/xl/externalLinks/externalLink3.xml" /><Relationship Id="rId14" Type="http://schemas.openxmlformats.org/officeDocument/2006/relationships/worksheet" Target="worksheets/sheet14.xml" /><Relationship Id="rId9" Type="http://schemas.openxmlformats.org/officeDocument/2006/relationships/worksheet" Target="worksheets/sheet9.xml" /><Relationship Id="rId22" Type="http://schemas.openxmlformats.org/officeDocument/2006/relationships/theme" Target="theme/theme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AM\13_14%20RAM\13_14%20HEFCE%20grant\HEFCE%20grant%202013-14\GrantTablesInitial2013_March2013_10007782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AM\13_14%20RAM\Institutes\3rd%20Draft\Income\HEFCE%20T%20grant%202013-14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Tplate$\gtab11.xlsx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AM\13_14%20RAM\Divisions\Income\Research\HEFCE%20Research%20grant%20allocation%202013-14.xlsx" TargetMode="External" /></Relationships>
</file>

<file path=xl/externalLinks/_rels/externalLink5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Richard\RAM\Draft2%20RAM%2013_14%20v5%20Jan-14.xlsx" TargetMode="External" /></Relationships>
</file>

<file path=xl/externalLinks/externalLink1.xml><?xml version="1.0" encoding="utf-8"?>
<externalLink xmlns="http://schemas.openxmlformats.org/spreadsheetml/2006/main">
  <externalBook xmlns:d2p1="http://schemas.openxmlformats.org/officeDocument/2006/relationships" d2p1:id="rId1">
    <sheetNames>
      <sheetName val="Table_A"/>
      <sheetName val="Table_B"/>
      <sheetName val="Table_C"/>
      <sheetName val="Table_D"/>
      <sheetName val="Table_E"/>
      <sheetName val="Table_F"/>
      <sheetName val="Table_G"/>
      <sheetName val="Table_H"/>
      <sheetName val="Table_I"/>
      <sheetName val="Table_J"/>
      <sheetName val="Table_K"/>
      <sheetName val="Notes for templates"/>
      <sheetName val="T_NEW"/>
    </sheetNames>
    <sheetDataSet>
      <sheetData sheetId="0"/>
      <sheetData sheetId="1">
        <row r="34">
          <cell r="A34">
            <v>259</v>
          </cell>
          <cell r="B34">
            <v>0</v>
          </cell>
          <cell r="C34">
            <v>192</v>
          </cell>
          <cell r="D34">
            <v>199</v>
          </cell>
          <cell r="E34">
            <v>167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N34">
            <v>0</v>
          </cell>
          <cell r="O34">
            <v>400173</v>
          </cell>
        </row>
      </sheetData>
      <sheetData sheetId="2">
        <row r="40">
          <cell r="A40">
            <v>62991</v>
          </cell>
          <cell r="B40">
            <v>8639</v>
          </cell>
          <cell r="C40">
            <v>115670</v>
          </cell>
          <cell r="D40">
            <v>35234</v>
          </cell>
          <cell r="E40">
            <v>28012</v>
          </cell>
          <cell r="F40">
            <v>250546</v>
          </cell>
          <cell r="G40">
            <v>21731</v>
          </cell>
          <cell r="H40">
            <v>0</v>
          </cell>
          <cell r="I40">
            <v>31682</v>
          </cell>
          <cell r="J40">
            <v>0</v>
          </cell>
          <cell r="K40">
            <v>0</v>
          </cell>
          <cell r="L40">
            <v>0</v>
          </cell>
          <cell r="M40">
            <v>580435</v>
          </cell>
          <cell r="N40">
            <v>633848</v>
          </cell>
          <cell r="O40">
            <v>491653</v>
          </cell>
          <cell r="P40">
            <v>20921</v>
          </cell>
          <cell r="Q40">
            <v>151446</v>
          </cell>
          <cell r="R40">
            <v>0</v>
          </cell>
          <cell r="S40">
            <v>664020</v>
          </cell>
        </row>
      </sheetData>
      <sheetData sheetId="3"/>
      <sheetData sheetId="4"/>
      <sheetData sheetId="5"/>
      <sheetData sheetId="6"/>
      <sheetData sheetId="7">
        <row r="89">
          <cell r="A89">
            <v>20</v>
          </cell>
          <cell r="B89">
            <v>25</v>
          </cell>
          <cell r="C89">
            <v>5</v>
          </cell>
          <cell r="D89">
            <v>10</v>
          </cell>
          <cell r="E89">
            <v>85</v>
          </cell>
          <cell r="F89">
            <v>523</v>
          </cell>
          <cell r="G89">
            <v>1854</v>
          </cell>
          <cell r="H89">
            <v>1.12</v>
          </cell>
          <cell r="I89">
            <v>186.650903548754</v>
          </cell>
          <cell r="J89">
            <v>62991</v>
          </cell>
          <cell r="K89">
            <v>3</v>
          </cell>
          <cell r="L89">
            <v>7</v>
          </cell>
          <cell r="M89">
            <v>13</v>
          </cell>
          <cell r="N89">
            <v>57</v>
          </cell>
          <cell r="O89">
            <v>54.5</v>
          </cell>
          <cell r="P89">
            <v>620.581329589604</v>
          </cell>
          <cell r="Q89">
            <v>8639</v>
          </cell>
          <cell r="R89">
            <v>75</v>
          </cell>
          <cell r="S89">
            <v>1681</v>
          </cell>
          <cell r="T89">
            <v>2</v>
          </cell>
          <cell r="U89">
            <v>1978.6</v>
          </cell>
          <cell r="V89">
            <v>6.32023562135289</v>
          </cell>
          <cell r="W89">
            <v>10000</v>
          </cell>
          <cell r="X89">
            <v>28012</v>
          </cell>
          <cell r="Y89">
            <v>99</v>
          </cell>
          <cell r="Z89">
            <v>3</v>
          </cell>
          <cell r="AA89">
            <v>58</v>
          </cell>
          <cell r="AB89">
            <v>4</v>
          </cell>
          <cell r="AC89">
            <v>4</v>
          </cell>
          <cell r="AD89">
            <v>1</v>
          </cell>
          <cell r="AE89">
            <v>2</v>
          </cell>
          <cell r="AF89">
            <v>47</v>
          </cell>
          <cell r="AG89">
            <v>331.5</v>
          </cell>
          <cell r="AH89">
            <v>1754</v>
          </cell>
          <cell r="AI89">
            <v>294.741183578817</v>
          </cell>
          <cell r="AJ89">
            <v>115670</v>
          </cell>
          <cell r="AK89">
            <v>577.228195568855</v>
          </cell>
          <cell r="AL89">
            <v>35234</v>
          </cell>
        </row>
      </sheetData>
      <sheetData sheetId="8">
        <row r="44">
          <cell r="A44">
            <v>0.12</v>
          </cell>
          <cell r="B44">
            <v>1185.74</v>
          </cell>
          <cell r="C44">
            <v>503.99</v>
          </cell>
          <cell r="D44">
            <v>385.82</v>
          </cell>
          <cell r="E44">
            <v>296.94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d2p1="http://schemas.openxmlformats.org/officeDocument/2006/relationships" d2p1:id="rId1">
    <sheetNames>
      <sheetName val="Teaching income"/>
      <sheetName val="Table_A HEFCE grant letter"/>
    </sheetNames>
    <sheetDataSet>
      <sheetData sheetId="0"/>
      <sheetData sheetId="1">
        <row r="1">
          <cell r="A1" t="str">
            <v>Table A: 2013-14 Initial allocations - summary</v>
          </cell>
          <cell r="B1">
            <v>0</v>
          </cell>
          <cell r="C1">
            <v>0</v>
          </cell>
          <cell r="D1">
            <v>0</v>
          </cell>
          <cell r="F1" t="str">
            <v>Date: March 2013</v>
          </cell>
          <cell r="G1">
            <v>0</v>
          </cell>
        </row>
        <row r="2">
          <cell r="B2">
            <v>0</v>
          </cell>
        </row>
        <row r="3">
          <cell r="A3" t="str">
            <v>Institution: St George's Hospital Medical School</v>
          </cell>
          <cell r="B3">
            <v>0</v>
          </cell>
          <cell r="D3">
            <v>0</v>
          </cell>
          <cell r="E3">
            <v>0</v>
          </cell>
          <cell r="F3">
            <v>0</v>
          </cell>
        </row>
        <row r="4">
          <cell r="A4" t="str">
            <v>Code: H-0145</v>
          </cell>
          <cell r="B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A5" t="str">
            <v>UKPRN: 10007782</v>
          </cell>
          <cell r="B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E6" t="str">
            <v>Figures in £s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A9" t="str">
            <v>Teaching funds</v>
          </cell>
          <cell r="B9">
            <v>0</v>
          </cell>
          <cell r="E9" t="str">
            <v>Initial allocation</v>
          </cell>
          <cell r="F9">
            <v>0</v>
          </cell>
        </row>
        <row r="10">
          <cell r="A10">
            <v>0</v>
          </cell>
          <cell r="B10">
            <v>0</v>
          </cell>
          <cell r="E10">
            <v>0</v>
          </cell>
          <cell r="F10">
            <v>0</v>
          </cell>
        </row>
        <row r="11">
          <cell r="A11">
            <v>0</v>
          </cell>
          <cell r="B11">
            <v>0</v>
          </cell>
          <cell r="D11" t="str">
            <v>Funding for old-regime students (mainstream)</v>
          </cell>
          <cell r="E11">
            <v>12525850</v>
          </cell>
          <cell r="F11">
            <v>0</v>
          </cell>
          <cell r="G11">
            <v>0</v>
          </cell>
        </row>
        <row r="12">
          <cell r="A12">
            <v>0</v>
          </cell>
          <cell r="B12">
            <v>0</v>
          </cell>
          <cell r="D12" t="str">
            <v>Funding for old-regime students (co-funded)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0</v>
          </cell>
          <cell r="B13">
            <v>0</v>
          </cell>
          <cell r="D13" t="str">
            <v>High-cost funding for new-regime students</v>
          </cell>
          <cell r="E13">
            <v>2785139</v>
          </cell>
          <cell r="F13">
            <v>0</v>
          </cell>
          <cell r="G13">
            <v>0</v>
          </cell>
        </row>
        <row r="14">
          <cell r="A14" t="str">
            <v>Targeted allocations:</v>
          </cell>
          <cell r="D14" t="str">
            <v>Student opportunity allocation</v>
          </cell>
          <cell r="E14">
            <v>250546</v>
          </cell>
          <cell r="F14">
            <v>0</v>
          </cell>
        </row>
        <row r="15">
          <cell r="D15" t="str">
            <v>Other targeted allocations</v>
          </cell>
          <cell r="E15">
            <v>633848</v>
          </cell>
          <cell r="F15">
            <v>0</v>
          </cell>
        </row>
        <row r="16">
          <cell r="D16" t="str">
            <v>Other recurrent teaching grants</v>
          </cell>
          <cell r="E16">
            <v>664020</v>
          </cell>
          <cell r="F16">
            <v>0</v>
          </cell>
        </row>
        <row r="17">
          <cell r="A17">
            <v>0</v>
          </cell>
          <cell r="B17">
            <v>0</v>
          </cell>
          <cell r="D17" t="str">
            <v>Total teaching funding</v>
          </cell>
          <cell r="E17">
            <v>16859403</v>
          </cell>
          <cell r="F17">
            <v>0</v>
          </cell>
          <cell r="G17">
            <v>0</v>
          </cell>
        </row>
        <row r="18">
          <cell r="G18">
            <v>0</v>
          </cell>
        </row>
        <row r="19">
          <cell r="A19" t="str">
            <v>Research funds</v>
          </cell>
          <cell r="B19">
            <v>0</v>
          </cell>
          <cell r="D19">
            <v>0</v>
          </cell>
          <cell r="E19">
            <v>4464056</v>
          </cell>
          <cell r="F19">
            <v>0</v>
          </cell>
          <cell r="G19" t="str">
            <v>No</v>
          </cell>
        </row>
        <row r="20">
          <cell r="A20">
            <v>0</v>
          </cell>
          <cell r="B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No</v>
          </cell>
        </row>
        <row r="21">
          <cell r="A21" t="str">
            <v>Higher Education Innovation Funding</v>
          </cell>
          <cell r="B21">
            <v>0</v>
          </cell>
          <cell r="E21">
            <v>934795</v>
          </cell>
          <cell r="F21">
            <v>0</v>
          </cell>
          <cell r="G21" t="str">
            <v>No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 t="str">
            <v>No</v>
          </cell>
        </row>
        <row r="23">
          <cell r="A23" t="str">
            <v>Total recurrent grant </v>
          </cell>
          <cell r="B23">
            <v>0</v>
          </cell>
          <cell r="C23">
            <v>0</v>
          </cell>
          <cell r="E23">
            <v>22258254</v>
          </cell>
          <cell r="F23">
            <v>0</v>
          </cell>
          <cell r="G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D25">
            <v>0</v>
          </cell>
          <cell r="G25">
            <v>0</v>
          </cell>
        </row>
        <row r="26">
          <cell r="A26" t="str">
            <v>Museums, Galleries and Collections Fund</v>
          </cell>
          <cell r="B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No</v>
          </cell>
        </row>
        <row r="27">
          <cell r="A27">
            <v>0</v>
          </cell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7">
          <cell r="A37" t="str">
            <v>GRANTM13</v>
          </cell>
          <cell r="B37" t="str">
            <v>GRANTC13</v>
          </cell>
          <cell r="C37" t="str">
            <v>HIGHCOST13</v>
          </cell>
          <cell r="D37" t="str">
            <v>S_OPP13</v>
          </cell>
          <cell r="E37" t="str">
            <v>OTARGET13</v>
          </cell>
          <cell r="F37" t="str">
            <v>OTHERT13</v>
          </cell>
          <cell r="G37" t="str">
            <v>T_TOT13</v>
          </cell>
          <cell r="H37" t="str">
            <v>R_TOT13</v>
          </cell>
          <cell r="I37" t="str">
            <v>HEIF13</v>
          </cell>
          <cell r="J37" t="str">
            <v>GRANT13</v>
          </cell>
          <cell r="K37" t="str">
            <v>SF_MG</v>
          </cell>
          <cell r="L37" t="str">
            <v>RowTag</v>
          </cell>
        </row>
        <row r="38">
          <cell r="L38" t="str">
            <v>DATA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d2p1="http://schemas.openxmlformats.org/officeDocument/2006/relationships" d2p1:id="rId1">
    <sheetNames>
      <sheetName val="Config"/>
      <sheetName val="TOTConfig"/>
      <sheetName val="FATConfig"/>
      <sheetName val="TASConfig"/>
      <sheetName val="STUConfig"/>
      <sheetName val="STDConfig"/>
      <sheetName val="F11Config"/>
      <sheetName val="OLDConfig"/>
      <sheetName val="CofConfig"/>
      <sheetName val="NEWConfig"/>
      <sheetName val="WP_Config"/>
      <sheetName val="TESConfig"/>
      <sheetName val="PARConfig"/>
      <sheetName val="R_Config"/>
      <sheetName val="RDPConfig"/>
      <sheetName val="TOT"/>
      <sheetName val="FAT"/>
      <sheetName val="TAS"/>
      <sheetName val="STU"/>
      <sheetName val="STD"/>
      <sheetName val="F11"/>
      <sheetName val="OLD"/>
      <sheetName val="COF"/>
      <sheetName val="NEW"/>
      <sheetName val="WP_"/>
      <sheetName val="TES"/>
      <sheetName val="PAR"/>
      <sheetName val="R_"/>
      <sheetName val="RDP"/>
      <sheetName val="Notes for templates"/>
      <sheetName val="T_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20">
          <cell r="A20" t="str">
            <v>Research funds</v>
          </cell>
          <cell r="E20">
            <v>0</v>
          </cell>
        </row>
        <row r="22">
          <cell r="A22" t="str">
            <v>Higher Education Innovation Funding</v>
          </cell>
          <cell r="E22">
            <v>0</v>
          </cell>
        </row>
        <row r="24">
          <cell r="E24">
            <v>0</v>
          </cell>
        </row>
        <row r="27">
          <cell r="A27" t="str">
            <v>Special funding</v>
          </cell>
          <cell r="D27" t="str">
            <v>London Whole Institutions</v>
          </cell>
          <cell r="E27">
            <v>0</v>
          </cell>
        </row>
        <row r="28">
          <cell r="D28" t="str">
            <v>Museums and galleries</v>
          </cell>
          <cell r="E28">
            <v>0</v>
          </cell>
        </row>
        <row r="29">
          <cell r="D29" t="str">
            <v>Total special funding</v>
          </cell>
          <cell r="E29">
            <v>0</v>
          </cell>
        </row>
        <row r="37">
          <cell r="H37" t="str">
            <v>T_TOT12</v>
          </cell>
        </row>
      </sheetData>
      <sheetData sheetId="16">
        <row r="9">
          <cell r="F9" t="str">
            <v>Medical and dental targets for 2012-13</v>
          </cell>
        </row>
        <row r="10">
          <cell r="E10" t="str">
            <v>Medical intake target</v>
          </cell>
          <cell r="F10" t="str">
            <v>Not applicable</v>
          </cell>
        </row>
        <row r="11">
          <cell r="E11" t="str">
            <v>Dental intake target</v>
          </cell>
          <cell r="F11" t="str">
            <v>Not applicable</v>
          </cell>
        </row>
        <row r="24">
          <cell r="F24" t="str">
            <v>Other conditional elements of grant in 2012-13</v>
          </cell>
        </row>
        <row r="25">
          <cell r="E25" t="str">
            <v>Additional funding for very high-cost and vulnerable science subjects</v>
          </cell>
          <cell r="F25" t="str">
            <v>Not applicable</v>
          </cell>
        </row>
        <row r="26">
          <cell r="E26" t="str">
            <v>RDP supervision funds</v>
          </cell>
          <cell r="F26" t="str">
            <v>Not applicable</v>
          </cell>
        </row>
        <row r="30">
          <cell r="H30" t="str">
            <v>CONT_EXTRA</v>
          </cell>
        </row>
      </sheetData>
      <sheetData sheetId="17"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Institution-specific</v>
          </cell>
          <cell r="C24">
            <v>0</v>
          </cell>
        </row>
        <row r="25">
          <cell r="C25">
            <v>0</v>
          </cell>
        </row>
        <row r="26">
          <cell r="A26" t="str">
            <v>Additional funding for very high-cost and vulnerable science subjects</v>
          </cell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A30" t="str">
            <v>Interim allocation for Open University new-regime students in Northern Ireland</v>
          </cell>
          <cell r="C30">
            <v>0</v>
          </cell>
        </row>
        <row r="31">
          <cell r="C31">
            <v>0</v>
          </cell>
        </row>
        <row r="35">
          <cell r="A35" t="str">
            <v>Clinical consultants' pay</v>
          </cell>
          <cell r="C35">
            <v>0</v>
          </cell>
        </row>
        <row r="36">
          <cell r="A36" t="str">
            <v>Senior academic GPs' pay</v>
          </cell>
          <cell r="C36">
            <v>0</v>
          </cell>
        </row>
        <row r="37">
          <cell r="A37" t="str">
            <v>NHS pensions scheme compensation</v>
          </cell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1">
          <cell r="C41">
            <v>0</v>
          </cell>
        </row>
        <row r="44">
          <cell r="E44" t="str">
            <v>IR_FTS</v>
          </cell>
        </row>
      </sheetData>
      <sheetData sheetId="18">
        <row r="7">
          <cell r="F7" t="str">
            <v>Adjustments to 2011-12 mainstream FTEs</v>
          </cell>
          <cell r="J7" t="str">
            <v>Adjustments to 2011-12 co-funded FTEs</v>
          </cell>
        </row>
        <row r="8">
          <cell r="F8" t="str">
            <v>FTE11ADJ</v>
          </cell>
          <cell r="J8" t="str">
            <v>COFADJ11</v>
          </cell>
          <cell r="M8" t="str">
            <v>PRICEGRP</v>
          </cell>
          <cell r="N8" t="str">
            <v>MODE</v>
          </cell>
          <cell r="O8" t="str">
            <v>LEVEL</v>
          </cell>
          <cell r="P8" t="str">
            <v>LENGTH</v>
          </cell>
        </row>
        <row r="9">
          <cell r="A9" t="str">
            <v>A</v>
          </cell>
          <cell r="B9" t="str">
            <v>FT</v>
          </cell>
          <cell r="C9" t="str">
            <v>UG</v>
          </cell>
          <cell r="D9" t="str">
            <v>Standard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 t="str">
            <v>A</v>
          </cell>
          <cell r="N9" t="str">
            <v>FTS</v>
          </cell>
          <cell r="O9" t="str">
            <v>UG</v>
          </cell>
          <cell r="P9" t="str">
            <v>S</v>
          </cell>
        </row>
        <row r="10">
          <cell r="B10" t="str">
            <v>FT</v>
          </cell>
          <cell r="C10" t="str">
            <v>UG</v>
          </cell>
          <cell r="D10" t="str">
            <v>Long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 t="str">
            <v>A</v>
          </cell>
          <cell r="N10" t="str">
            <v>FTS</v>
          </cell>
          <cell r="O10" t="str">
            <v>UG</v>
          </cell>
          <cell r="P10" t="str">
            <v>L</v>
          </cell>
        </row>
        <row r="11">
          <cell r="B11" t="str">
            <v>FT</v>
          </cell>
          <cell r="C11" t="str">
            <v>PGT</v>
          </cell>
          <cell r="D11" t="str">
            <v>Standard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 t="str">
            <v>A</v>
          </cell>
          <cell r="N11" t="str">
            <v>FTS</v>
          </cell>
          <cell r="O11" t="str">
            <v>PGT</v>
          </cell>
          <cell r="P11" t="str">
            <v>S</v>
          </cell>
        </row>
        <row r="12">
          <cell r="B12" t="str">
            <v>FT</v>
          </cell>
          <cell r="C12" t="str">
            <v>PGT</v>
          </cell>
          <cell r="D12" t="str">
            <v>Long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 t="str">
            <v>A</v>
          </cell>
          <cell r="N12" t="str">
            <v>FTS</v>
          </cell>
          <cell r="O12" t="str">
            <v>PGT</v>
          </cell>
          <cell r="P12" t="str">
            <v>L</v>
          </cell>
        </row>
        <row r="13">
          <cell r="B13" t="str">
            <v>PT</v>
          </cell>
          <cell r="C13" t="str">
            <v>UG</v>
          </cell>
          <cell r="D13" t="str">
            <v>Standard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 t="str">
            <v>A</v>
          </cell>
          <cell r="N13" t="str">
            <v>PT</v>
          </cell>
          <cell r="O13" t="str">
            <v>UG</v>
          </cell>
          <cell r="P13" t="str">
            <v>S</v>
          </cell>
        </row>
        <row r="14">
          <cell r="B14" t="str">
            <v>PT</v>
          </cell>
          <cell r="C14" t="str">
            <v>UG</v>
          </cell>
          <cell r="D14" t="str">
            <v>Long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 t="str">
            <v>A</v>
          </cell>
          <cell r="N14" t="str">
            <v>PT</v>
          </cell>
          <cell r="O14" t="str">
            <v>UG</v>
          </cell>
          <cell r="P14" t="str">
            <v>L</v>
          </cell>
        </row>
        <row r="15">
          <cell r="B15" t="str">
            <v>PT</v>
          </cell>
          <cell r="C15" t="str">
            <v>PGT</v>
          </cell>
          <cell r="D15" t="str">
            <v>Standard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 t="str">
            <v>A</v>
          </cell>
          <cell r="N15" t="str">
            <v>PT</v>
          </cell>
          <cell r="O15" t="str">
            <v>PGT</v>
          </cell>
          <cell r="P15" t="str">
            <v>S</v>
          </cell>
        </row>
        <row r="16">
          <cell r="B16" t="str">
            <v>PT</v>
          </cell>
          <cell r="C16" t="str">
            <v>PGT</v>
          </cell>
          <cell r="D16" t="str">
            <v>Long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 t="str">
            <v>A</v>
          </cell>
          <cell r="N16" t="str">
            <v>PT</v>
          </cell>
          <cell r="O16" t="str">
            <v>PGT</v>
          </cell>
          <cell r="P16" t="str">
            <v>L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 t="str">
            <v>B</v>
          </cell>
          <cell r="N17" t="str">
            <v>FTS</v>
          </cell>
          <cell r="O17" t="str">
            <v>UG</v>
          </cell>
          <cell r="P17" t="str">
            <v>S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 t="str">
            <v>B</v>
          </cell>
          <cell r="N18" t="str">
            <v>FTS</v>
          </cell>
          <cell r="O18" t="str">
            <v>UG</v>
          </cell>
          <cell r="P18" t="str">
            <v>L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 t="str">
            <v>B</v>
          </cell>
          <cell r="N19" t="str">
            <v>FTS</v>
          </cell>
          <cell r="O19" t="str">
            <v>PGT</v>
          </cell>
          <cell r="P19" t="str">
            <v>S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 t="str">
            <v>B</v>
          </cell>
          <cell r="N20" t="str">
            <v>FTS</v>
          </cell>
          <cell r="O20" t="str">
            <v>PGT</v>
          </cell>
          <cell r="P20" t="str">
            <v>L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 t="str">
            <v>B</v>
          </cell>
          <cell r="N21" t="str">
            <v>PT</v>
          </cell>
          <cell r="O21" t="str">
            <v>UG</v>
          </cell>
          <cell r="P21" t="str">
            <v>S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 t="str">
            <v>B</v>
          </cell>
          <cell r="N22" t="str">
            <v>PT</v>
          </cell>
          <cell r="O22" t="str">
            <v>UG</v>
          </cell>
          <cell r="P22" t="str">
            <v>L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 t="str">
            <v>B</v>
          </cell>
          <cell r="N23" t="str">
            <v>PT</v>
          </cell>
          <cell r="O23" t="str">
            <v>PGT</v>
          </cell>
          <cell r="P23" t="str">
            <v>S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 t="str">
            <v>B</v>
          </cell>
          <cell r="N24" t="str">
            <v>PT</v>
          </cell>
          <cell r="O24" t="str">
            <v>PGT</v>
          </cell>
          <cell r="P24" t="str">
            <v>L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 t="str">
            <v>C</v>
          </cell>
          <cell r="N25" t="str">
            <v>FTS</v>
          </cell>
          <cell r="O25" t="str">
            <v>UG</v>
          </cell>
          <cell r="P25" t="str">
            <v>S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 t="str">
            <v>C</v>
          </cell>
          <cell r="N26" t="str">
            <v>FTS</v>
          </cell>
          <cell r="O26" t="str">
            <v>UG</v>
          </cell>
          <cell r="P26" t="str">
            <v>L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 t="str">
            <v>C</v>
          </cell>
          <cell r="N27" t="str">
            <v>FTS</v>
          </cell>
          <cell r="O27" t="str">
            <v>PGT</v>
          </cell>
          <cell r="P27" t="str">
            <v>S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 t="str">
            <v>C</v>
          </cell>
          <cell r="N28" t="str">
            <v>FTS</v>
          </cell>
          <cell r="O28" t="str">
            <v>PGT</v>
          </cell>
          <cell r="P28" t="str">
            <v>L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 t="str">
            <v>C</v>
          </cell>
          <cell r="N29" t="str">
            <v>SWOUT</v>
          </cell>
          <cell r="O29" t="str">
            <v>UG</v>
          </cell>
          <cell r="P29" t="str">
            <v>S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 t="str">
            <v>C</v>
          </cell>
          <cell r="N30" t="str">
            <v>SWOUT</v>
          </cell>
          <cell r="O30" t="str">
            <v>UG</v>
          </cell>
          <cell r="P30" t="str">
            <v>L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 t="str">
            <v>C</v>
          </cell>
          <cell r="N31" t="str">
            <v>SWOUT</v>
          </cell>
          <cell r="O31" t="str">
            <v>PGT</v>
          </cell>
          <cell r="P31" t="str">
            <v>S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 t="str">
            <v>C</v>
          </cell>
          <cell r="N32" t="str">
            <v>SWOUT</v>
          </cell>
          <cell r="O32" t="str">
            <v>PGT</v>
          </cell>
          <cell r="P32" t="str">
            <v>L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 t="str">
            <v>C</v>
          </cell>
          <cell r="N33" t="str">
            <v>PT</v>
          </cell>
          <cell r="O33" t="str">
            <v>UG</v>
          </cell>
          <cell r="P33" t="str">
            <v>S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 t="str">
            <v>C</v>
          </cell>
          <cell r="N34" t="str">
            <v>PT</v>
          </cell>
          <cell r="O34" t="str">
            <v>UG</v>
          </cell>
          <cell r="P34" t="str">
            <v>L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 t="str">
            <v>C</v>
          </cell>
          <cell r="N35" t="str">
            <v>PT</v>
          </cell>
          <cell r="O35" t="str">
            <v>PGT</v>
          </cell>
          <cell r="P35" t="str">
            <v>S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 t="str">
            <v>C</v>
          </cell>
          <cell r="N36" t="str">
            <v>PT</v>
          </cell>
          <cell r="O36" t="str">
            <v>PGT</v>
          </cell>
          <cell r="P36" t="str">
            <v>L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M37" t="str">
            <v>D</v>
          </cell>
          <cell r="N37" t="str">
            <v>FTS</v>
          </cell>
          <cell r="O37" t="str">
            <v>UG</v>
          </cell>
          <cell r="P37" t="str">
            <v>S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 t="str">
            <v>D</v>
          </cell>
          <cell r="N38" t="str">
            <v>FTS</v>
          </cell>
          <cell r="O38" t="str">
            <v>UG</v>
          </cell>
          <cell r="P38" t="str">
            <v>L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M39" t="str">
            <v>D</v>
          </cell>
          <cell r="N39" t="str">
            <v>FTS</v>
          </cell>
          <cell r="O39" t="str">
            <v>PGT</v>
          </cell>
          <cell r="P39" t="str">
            <v>S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M40" t="str">
            <v>D</v>
          </cell>
          <cell r="N40" t="str">
            <v>FTS</v>
          </cell>
          <cell r="O40" t="str">
            <v>PGT</v>
          </cell>
          <cell r="P40" t="str">
            <v>L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M41" t="str">
            <v>D</v>
          </cell>
          <cell r="N41" t="str">
            <v>PT</v>
          </cell>
          <cell r="O41" t="str">
            <v>UG</v>
          </cell>
          <cell r="P41" t="str">
            <v>S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M42" t="str">
            <v>D</v>
          </cell>
          <cell r="N42" t="str">
            <v>PT</v>
          </cell>
          <cell r="O42" t="str">
            <v>UG</v>
          </cell>
          <cell r="P42" t="str">
            <v>L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 t="str">
            <v>D</v>
          </cell>
          <cell r="N43" t="str">
            <v>PT</v>
          </cell>
          <cell r="O43" t="str">
            <v>PGT</v>
          </cell>
          <cell r="P43" t="str">
            <v>S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 t="str">
            <v>D</v>
          </cell>
          <cell r="N44" t="str">
            <v>PT</v>
          </cell>
          <cell r="O44" t="str">
            <v>PGT</v>
          </cell>
          <cell r="P44" t="str">
            <v>L</v>
          </cell>
        </row>
        <row r="45">
          <cell r="F45">
            <v>0</v>
          </cell>
          <cell r="J45">
            <v>0</v>
          </cell>
        </row>
        <row r="46">
          <cell r="F46">
            <v>0</v>
          </cell>
          <cell r="J46">
            <v>0</v>
          </cell>
        </row>
        <row r="47">
          <cell r="F47">
            <v>0</v>
          </cell>
          <cell r="J47">
            <v>0</v>
          </cell>
        </row>
        <row r="49">
          <cell r="F49" t="str">
            <v>FTE11ADJ</v>
          </cell>
          <cell r="J49" t="str">
            <v>COFADJ11</v>
          </cell>
        </row>
      </sheetData>
      <sheetData sheetId="19">
        <row r="7">
          <cell r="F7" t="str">
            <v>Adjustments to 2011-12 mainstream FTEs</v>
          </cell>
          <cell r="M7" t="str">
            <v>Adjustments to 2011-12 co-funded FTEs</v>
          </cell>
        </row>
        <row r="8">
          <cell r="F8" t="str">
            <v>FTE11ADJ</v>
          </cell>
          <cell r="M8" t="str">
            <v>COFADJ11</v>
          </cell>
          <cell r="T8" t="str">
            <v>PRICEGRP</v>
          </cell>
          <cell r="U8" t="str">
            <v>MODE</v>
          </cell>
          <cell r="V8" t="str">
            <v>LEVEL</v>
          </cell>
          <cell r="W8" t="str">
            <v>LENGTH</v>
          </cell>
        </row>
        <row r="9">
          <cell r="A9" t="str">
            <v>A</v>
          </cell>
          <cell r="B9" t="str">
            <v>FT</v>
          </cell>
          <cell r="C9" t="str">
            <v>UG</v>
          </cell>
          <cell r="D9" t="str">
            <v>Standard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T9" t="str">
            <v>A</v>
          </cell>
          <cell r="U9" t="str">
            <v>FTS</v>
          </cell>
          <cell r="V9" t="str">
            <v>UG</v>
          </cell>
          <cell r="W9" t="str">
            <v>S</v>
          </cell>
        </row>
        <row r="10">
          <cell r="B10" t="str">
            <v>FT</v>
          </cell>
          <cell r="C10" t="str">
            <v>UG</v>
          </cell>
          <cell r="D10" t="str">
            <v>Long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T10" t="str">
            <v>A</v>
          </cell>
          <cell r="U10" t="str">
            <v>FTS</v>
          </cell>
          <cell r="V10" t="str">
            <v>UG</v>
          </cell>
          <cell r="W10" t="str">
            <v>L</v>
          </cell>
        </row>
        <row r="11">
          <cell r="B11" t="str">
            <v>FT</v>
          </cell>
          <cell r="C11" t="str">
            <v>PGT</v>
          </cell>
          <cell r="D11" t="str">
            <v>Standard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T11" t="str">
            <v>A</v>
          </cell>
          <cell r="U11" t="str">
            <v>FTS</v>
          </cell>
          <cell r="V11" t="str">
            <v>PGT</v>
          </cell>
          <cell r="W11" t="str">
            <v>S</v>
          </cell>
        </row>
        <row r="12">
          <cell r="B12" t="str">
            <v>FT</v>
          </cell>
          <cell r="C12" t="str">
            <v>PGT</v>
          </cell>
          <cell r="D12" t="str">
            <v>Long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T12" t="str">
            <v>A</v>
          </cell>
          <cell r="U12" t="str">
            <v>FTS</v>
          </cell>
          <cell r="V12" t="str">
            <v>PGT</v>
          </cell>
          <cell r="W12" t="str">
            <v>L</v>
          </cell>
        </row>
        <row r="13">
          <cell r="B13" t="str">
            <v>PT</v>
          </cell>
          <cell r="C13" t="str">
            <v>UG</v>
          </cell>
          <cell r="D13" t="str">
            <v>Standard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T13" t="str">
            <v>A</v>
          </cell>
          <cell r="U13" t="str">
            <v>PT</v>
          </cell>
          <cell r="V13" t="str">
            <v>UG</v>
          </cell>
          <cell r="W13" t="str">
            <v>S</v>
          </cell>
        </row>
        <row r="14">
          <cell r="B14" t="str">
            <v>PT</v>
          </cell>
          <cell r="C14" t="str">
            <v>UG</v>
          </cell>
          <cell r="D14" t="str">
            <v>Long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T14" t="str">
            <v>A</v>
          </cell>
          <cell r="U14" t="str">
            <v>PT</v>
          </cell>
          <cell r="V14" t="str">
            <v>UG</v>
          </cell>
          <cell r="W14" t="str">
            <v>L</v>
          </cell>
        </row>
        <row r="15">
          <cell r="B15" t="str">
            <v>PT</v>
          </cell>
          <cell r="C15" t="str">
            <v>PGT</v>
          </cell>
          <cell r="D15" t="str">
            <v>Standard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T15" t="str">
            <v>A</v>
          </cell>
          <cell r="U15" t="str">
            <v>PT</v>
          </cell>
          <cell r="V15" t="str">
            <v>PGT</v>
          </cell>
          <cell r="W15" t="str">
            <v>S</v>
          </cell>
        </row>
        <row r="16">
          <cell r="B16" t="str">
            <v>PT</v>
          </cell>
          <cell r="C16" t="str">
            <v>PGT</v>
          </cell>
          <cell r="D16" t="str">
            <v>Long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T16" t="str">
            <v>A</v>
          </cell>
          <cell r="U16" t="str">
            <v>PT</v>
          </cell>
          <cell r="V16" t="str">
            <v>PGT</v>
          </cell>
          <cell r="W16" t="str">
            <v>L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T17" t="str">
            <v>B</v>
          </cell>
          <cell r="U17" t="str">
            <v>FTS</v>
          </cell>
          <cell r="V17" t="str">
            <v>UG</v>
          </cell>
          <cell r="W17" t="str">
            <v>S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B</v>
          </cell>
          <cell r="U18" t="str">
            <v>FTS</v>
          </cell>
          <cell r="V18" t="str">
            <v>UG</v>
          </cell>
          <cell r="W18" t="str">
            <v>L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T19" t="str">
            <v>B</v>
          </cell>
          <cell r="U19" t="str">
            <v>FTS</v>
          </cell>
          <cell r="V19" t="str">
            <v>PGT</v>
          </cell>
          <cell r="W19" t="str">
            <v>S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T20" t="str">
            <v>B</v>
          </cell>
          <cell r="U20" t="str">
            <v>FTS</v>
          </cell>
          <cell r="V20" t="str">
            <v>PGT</v>
          </cell>
          <cell r="W20" t="str">
            <v>L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T21" t="str">
            <v>B</v>
          </cell>
          <cell r="U21" t="str">
            <v>PT</v>
          </cell>
          <cell r="V21" t="str">
            <v>UG</v>
          </cell>
          <cell r="W21" t="str">
            <v>S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T22" t="str">
            <v>B</v>
          </cell>
          <cell r="U22" t="str">
            <v>PT</v>
          </cell>
          <cell r="V22" t="str">
            <v>UG</v>
          </cell>
          <cell r="W22" t="str">
            <v>L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T23" t="str">
            <v>B</v>
          </cell>
          <cell r="U23" t="str">
            <v>PT</v>
          </cell>
          <cell r="V23" t="str">
            <v>PGT</v>
          </cell>
          <cell r="W23" t="str">
            <v>S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T24" t="str">
            <v>B</v>
          </cell>
          <cell r="U24" t="str">
            <v>PT</v>
          </cell>
          <cell r="V24" t="str">
            <v>PGT</v>
          </cell>
          <cell r="W24" t="str">
            <v>L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T25" t="str">
            <v>C</v>
          </cell>
          <cell r="U25" t="str">
            <v>FTS</v>
          </cell>
          <cell r="V25" t="str">
            <v>UG</v>
          </cell>
          <cell r="W25" t="str">
            <v>S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T26" t="str">
            <v>C</v>
          </cell>
          <cell r="U26" t="str">
            <v>FTS</v>
          </cell>
          <cell r="V26" t="str">
            <v>UG</v>
          </cell>
          <cell r="W26" t="str">
            <v>L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T27" t="str">
            <v>C</v>
          </cell>
          <cell r="U27" t="str">
            <v>FTS</v>
          </cell>
          <cell r="V27" t="str">
            <v>PGT</v>
          </cell>
          <cell r="W27" t="str">
            <v>S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T28" t="str">
            <v>C</v>
          </cell>
          <cell r="U28" t="str">
            <v>FTS</v>
          </cell>
          <cell r="V28" t="str">
            <v>PGT</v>
          </cell>
          <cell r="W28" t="str">
            <v>L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T29" t="str">
            <v>C</v>
          </cell>
          <cell r="U29" t="str">
            <v>SWOUT</v>
          </cell>
          <cell r="V29" t="str">
            <v>UG</v>
          </cell>
          <cell r="W29" t="str">
            <v>S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T30" t="str">
            <v>C</v>
          </cell>
          <cell r="U30" t="str">
            <v>SWOUT</v>
          </cell>
          <cell r="V30" t="str">
            <v>UG</v>
          </cell>
          <cell r="W30" t="str">
            <v>L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C</v>
          </cell>
          <cell r="U31" t="str">
            <v>SWOUT</v>
          </cell>
          <cell r="V31" t="str">
            <v>PGT</v>
          </cell>
          <cell r="W31" t="str">
            <v>S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C</v>
          </cell>
          <cell r="U32" t="str">
            <v>SWOUT</v>
          </cell>
          <cell r="V32" t="str">
            <v>PGT</v>
          </cell>
          <cell r="W32" t="str">
            <v>L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T33" t="str">
            <v>C</v>
          </cell>
          <cell r="U33" t="str">
            <v>PT</v>
          </cell>
          <cell r="V33" t="str">
            <v>UG</v>
          </cell>
          <cell r="W33" t="str">
            <v>S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T34" t="str">
            <v>C</v>
          </cell>
          <cell r="U34" t="str">
            <v>PT</v>
          </cell>
          <cell r="V34" t="str">
            <v>UG</v>
          </cell>
          <cell r="W34" t="str">
            <v>L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>C</v>
          </cell>
          <cell r="U35" t="str">
            <v>PT</v>
          </cell>
          <cell r="V35" t="str">
            <v>PGT</v>
          </cell>
          <cell r="W35" t="str">
            <v>S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>C</v>
          </cell>
          <cell r="U36" t="str">
            <v>PT</v>
          </cell>
          <cell r="V36" t="str">
            <v>PGT</v>
          </cell>
          <cell r="W36" t="str">
            <v>L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T37" t="str">
            <v>D</v>
          </cell>
          <cell r="U37" t="str">
            <v>FTS</v>
          </cell>
          <cell r="V37" t="str">
            <v>UG</v>
          </cell>
          <cell r="W37" t="str">
            <v>S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T38" t="str">
            <v>D</v>
          </cell>
          <cell r="U38" t="str">
            <v>FTS</v>
          </cell>
          <cell r="V38" t="str">
            <v>UG</v>
          </cell>
          <cell r="W38" t="str">
            <v>L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T39" t="str">
            <v>D</v>
          </cell>
          <cell r="U39" t="str">
            <v>FTS</v>
          </cell>
          <cell r="V39" t="str">
            <v>PGT</v>
          </cell>
          <cell r="W39" t="str">
            <v>S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T40" t="str">
            <v>D</v>
          </cell>
          <cell r="U40" t="str">
            <v>FTS</v>
          </cell>
          <cell r="V40" t="str">
            <v>PGT</v>
          </cell>
          <cell r="W40" t="str">
            <v>L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T41" t="str">
            <v>D</v>
          </cell>
          <cell r="U41" t="str">
            <v>PT</v>
          </cell>
          <cell r="V41" t="str">
            <v>UG</v>
          </cell>
          <cell r="W41" t="str">
            <v>S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T42" t="str">
            <v>D</v>
          </cell>
          <cell r="U42" t="str">
            <v>PT</v>
          </cell>
          <cell r="V42" t="str">
            <v>UG</v>
          </cell>
          <cell r="W42" t="str">
            <v>L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T43" t="str">
            <v>D</v>
          </cell>
          <cell r="U43" t="str">
            <v>PT</v>
          </cell>
          <cell r="V43" t="str">
            <v>PGT</v>
          </cell>
          <cell r="W43" t="str">
            <v>S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T44" t="str">
            <v>D</v>
          </cell>
          <cell r="U44" t="str">
            <v>PT</v>
          </cell>
          <cell r="V44" t="str">
            <v>PGT</v>
          </cell>
          <cell r="W44" t="str">
            <v>L</v>
          </cell>
        </row>
        <row r="45">
          <cell r="F45">
            <v>0</v>
          </cell>
          <cell r="M45">
            <v>0</v>
          </cell>
        </row>
        <row r="46">
          <cell r="F46">
            <v>0</v>
          </cell>
          <cell r="M46">
            <v>0</v>
          </cell>
        </row>
        <row r="47">
          <cell r="F47">
            <v>0</v>
          </cell>
          <cell r="M47">
            <v>0</v>
          </cell>
        </row>
        <row r="49">
          <cell r="F49" t="str">
            <v>FTE11ADJ</v>
          </cell>
          <cell r="M49" t="str">
            <v>COFADJ11</v>
          </cell>
        </row>
      </sheetData>
      <sheetData sheetId="20">
        <row r="8">
          <cell r="H8" t="str">
            <v>PRICEGRP</v>
          </cell>
          <cell r="I8" t="str">
            <v>MODE</v>
          </cell>
          <cell r="J8" t="str">
            <v>LEVEL</v>
          </cell>
        </row>
        <row r="9">
          <cell r="A9" t="str">
            <v>A</v>
          </cell>
          <cell r="B9" t="str">
            <v>FT</v>
          </cell>
          <cell r="C9" t="str">
            <v>UG</v>
          </cell>
          <cell r="D9">
            <v>0</v>
          </cell>
          <cell r="E9">
            <v>0</v>
          </cell>
          <cell r="F9">
            <v>0</v>
          </cell>
          <cell r="H9" t="str">
            <v>A</v>
          </cell>
          <cell r="I9" t="str">
            <v>FTS</v>
          </cell>
          <cell r="J9" t="str">
            <v>UG</v>
          </cell>
        </row>
        <row r="10">
          <cell r="B10" t="str">
            <v>FT</v>
          </cell>
          <cell r="C10" t="str">
            <v>PGT</v>
          </cell>
          <cell r="D10">
            <v>0</v>
          </cell>
          <cell r="E10">
            <v>0</v>
          </cell>
          <cell r="F10">
            <v>0</v>
          </cell>
          <cell r="H10" t="str">
            <v>A</v>
          </cell>
          <cell r="I10" t="str">
            <v>FTS</v>
          </cell>
          <cell r="J10" t="str">
            <v>PGT</v>
          </cell>
        </row>
        <row r="11">
          <cell r="B11" t="str">
            <v>PT</v>
          </cell>
          <cell r="C11" t="str">
            <v>UG</v>
          </cell>
          <cell r="D11">
            <v>0</v>
          </cell>
          <cell r="E11">
            <v>0</v>
          </cell>
          <cell r="F11">
            <v>0</v>
          </cell>
          <cell r="H11" t="str">
            <v>A</v>
          </cell>
          <cell r="I11" t="str">
            <v>PT</v>
          </cell>
          <cell r="J11" t="str">
            <v>UG</v>
          </cell>
        </row>
        <row r="12">
          <cell r="B12" t="str">
            <v>PT</v>
          </cell>
          <cell r="C12" t="str">
            <v>PGT</v>
          </cell>
          <cell r="D12">
            <v>0</v>
          </cell>
          <cell r="E12">
            <v>0</v>
          </cell>
          <cell r="F12">
            <v>0</v>
          </cell>
          <cell r="H12" t="str">
            <v>A</v>
          </cell>
          <cell r="I12" t="str">
            <v>PT</v>
          </cell>
          <cell r="J12" t="str">
            <v>PGT</v>
          </cell>
        </row>
        <row r="13">
          <cell r="D13">
            <v>0</v>
          </cell>
          <cell r="E13">
            <v>0</v>
          </cell>
          <cell r="F13">
            <v>0</v>
          </cell>
          <cell r="H13" t="str">
            <v>B</v>
          </cell>
          <cell r="I13" t="str">
            <v>FTS</v>
          </cell>
          <cell r="J13" t="str">
            <v>UG</v>
          </cell>
        </row>
        <row r="14">
          <cell r="D14">
            <v>0</v>
          </cell>
          <cell r="E14">
            <v>0</v>
          </cell>
          <cell r="F14">
            <v>0</v>
          </cell>
          <cell r="H14" t="str">
            <v>B</v>
          </cell>
          <cell r="I14" t="str">
            <v>FTS</v>
          </cell>
          <cell r="J14" t="str">
            <v>PGT</v>
          </cell>
        </row>
        <row r="15">
          <cell r="D15">
            <v>0</v>
          </cell>
          <cell r="E15">
            <v>0</v>
          </cell>
          <cell r="F15">
            <v>0</v>
          </cell>
          <cell r="H15" t="str">
            <v>B</v>
          </cell>
          <cell r="I15" t="str">
            <v>PT</v>
          </cell>
          <cell r="J15" t="str">
            <v>UG</v>
          </cell>
        </row>
        <row r="16">
          <cell r="D16">
            <v>0</v>
          </cell>
          <cell r="E16">
            <v>0</v>
          </cell>
          <cell r="F16">
            <v>0</v>
          </cell>
          <cell r="H16" t="str">
            <v>B</v>
          </cell>
          <cell r="I16" t="str">
            <v>PT</v>
          </cell>
          <cell r="J16" t="str">
            <v>PGT</v>
          </cell>
        </row>
        <row r="17">
          <cell r="D17">
            <v>0</v>
          </cell>
          <cell r="E17">
            <v>0</v>
          </cell>
          <cell r="F17">
            <v>0</v>
          </cell>
          <cell r="H17" t="str">
            <v>C</v>
          </cell>
          <cell r="I17" t="str">
            <v>FTS</v>
          </cell>
          <cell r="J17" t="str">
            <v>UG</v>
          </cell>
        </row>
        <row r="18">
          <cell r="D18">
            <v>0</v>
          </cell>
          <cell r="E18">
            <v>0</v>
          </cell>
          <cell r="F18">
            <v>0</v>
          </cell>
          <cell r="H18" t="str">
            <v>C</v>
          </cell>
          <cell r="I18" t="str">
            <v>FTS</v>
          </cell>
          <cell r="J18" t="str">
            <v>PGT</v>
          </cell>
        </row>
        <row r="19">
          <cell r="D19">
            <v>0</v>
          </cell>
          <cell r="E19">
            <v>0</v>
          </cell>
          <cell r="F19">
            <v>0</v>
          </cell>
          <cell r="H19" t="str">
            <v>C</v>
          </cell>
          <cell r="I19" t="str">
            <v>SWOUT</v>
          </cell>
          <cell r="J19" t="str">
            <v>UG</v>
          </cell>
        </row>
        <row r="20">
          <cell r="D20">
            <v>0</v>
          </cell>
          <cell r="E20">
            <v>0</v>
          </cell>
          <cell r="F20">
            <v>0</v>
          </cell>
          <cell r="H20" t="str">
            <v>C</v>
          </cell>
          <cell r="I20" t="str">
            <v>SWOUT</v>
          </cell>
          <cell r="J20" t="str">
            <v>PGT</v>
          </cell>
        </row>
        <row r="21">
          <cell r="D21">
            <v>0</v>
          </cell>
          <cell r="E21">
            <v>0</v>
          </cell>
          <cell r="F21">
            <v>0</v>
          </cell>
          <cell r="H21" t="str">
            <v>C</v>
          </cell>
          <cell r="I21" t="str">
            <v>PT</v>
          </cell>
          <cell r="J21" t="str">
            <v>UG</v>
          </cell>
        </row>
        <row r="22">
          <cell r="D22">
            <v>0</v>
          </cell>
          <cell r="E22">
            <v>0</v>
          </cell>
          <cell r="F22">
            <v>0</v>
          </cell>
          <cell r="H22" t="str">
            <v>C</v>
          </cell>
          <cell r="I22" t="str">
            <v>PT</v>
          </cell>
          <cell r="J22" t="str">
            <v>PGT</v>
          </cell>
        </row>
        <row r="23">
          <cell r="D23">
            <v>0</v>
          </cell>
          <cell r="E23">
            <v>0</v>
          </cell>
          <cell r="F23">
            <v>0</v>
          </cell>
          <cell r="H23" t="str">
            <v>D</v>
          </cell>
          <cell r="I23" t="str">
            <v>FTS</v>
          </cell>
          <cell r="J23" t="str">
            <v>UG</v>
          </cell>
        </row>
        <row r="24">
          <cell r="D24">
            <v>0</v>
          </cell>
          <cell r="E24">
            <v>0</v>
          </cell>
          <cell r="F24">
            <v>0</v>
          </cell>
          <cell r="H24" t="str">
            <v>D</v>
          </cell>
          <cell r="I24" t="str">
            <v>FTS</v>
          </cell>
          <cell r="J24" t="str">
            <v>PGT</v>
          </cell>
        </row>
        <row r="25">
          <cell r="D25">
            <v>0</v>
          </cell>
          <cell r="E25">
            <v>0</v>
          </cell>
          <cell r="F25">
            <v>0</v>
          </cell>
          <cell r="H25" t="str">
            <v>D</v>
          </cell>
          <cell r="I25" t="str">
            <v>PT</v>
          </cell>
          <cell r="J25" t="str">
            <v>UG</v>
          </cell>
        </row>
        <row r="26">
          <cell r="D26">
            <v>0</v>
          </cell>
          <cell r="E26">
            <v>0</v>
          </cell>
          <cell r="F26">
            <v>0</v>
          </cell>
          <cell r="H26" t="str">
            <v>D</v>
          </cell>
          <cell r="I26" t="str">
            <v>PT</v>
          </cell>
          <cell r="J26" t="str">
            <v>PGT</v>
          </cell>
        </row>
      </sheetData>
      <sheetData sheetId="21">
        <row r="9">
          <cell r="Q9" t="str">
            <v>PRICEGRP</v>
          </cell>
          <cell r="R9" t="str">
            <v>MODE</v>
          </cell>
          <cell r="S9" t="str">
            <v>LEVEL</v>
          </cell>
        </row>
        <row r="10">
          <cell r="A10" t="str">
            <v>A</v>
          </cell>
          <cell r="B10" t="str">
            <v>FT</v>
          </cell>
          <cell r="C10" t="str">
            <v>UG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 t="str">
            <v>A</v>
          </cell>
          <cell r="R10" t="str">
            <v>FTS</v>
          </cell>
          <cell r="S10" t="str">
            <v>UG</v>
          </cell>
        </row>
        <row r="11">
          <cell r="B11" t="str">
            <v>FT</v>
          </cell>
          <cell r="C11" t="str">
            <v>PGT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</v>
          </cell>
          <cell r="R11" t="str">
            <v>FTS</v>
          </cell>
          <cell r="S11" t="str">
            <v>PGT</v>
          </cell>
        </row>
        <row r="12">
          <cell r="B12" t="str">
            <v>PT</v>
          </cell>
          <cell r="C12" t="str">
            <v>UG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 t="str">
            <v>A</v>
          </cell>
          <cell r="R12" t="str">
            <v>PT</v>
          </cell>
          <cell r="S12" t="str">
            <v>UG</v>
          </cell>
        </row>
        <row r="13">
          <cell r="B13" t="str">
            <v>PT</v>
          </cell>
          <cell r="C13" t="str">
            <v>PGT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</v>
          </cell>
          <cell r="R13" t="str">
            <v>PT</v>
          </cell>
          <cell r="S13" t="str">
            <v>PGT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B</v>
          </cell>
          <cell r="R14" t="str">
            <v>FTS</v>
          </cell>
          <cell r="S14" t="str">
            <v>UG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B</v>
          </cell>
          <cell r="R15" t="str">
            <v>FTS</v>
          </cell>
          <cell r="S15" t="str">
            <v>PGT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B</v>
          </cell>
          <cell r="R16" t="str">
            <v>PT</v>
          </cell>
          <cell r="S16" t="str">
            <v>UG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B</v>
          </cell>
          <cell r="R17" t="str">
            <v>PT</v>
          </cell>
          <cell r="S17" t="str">
            <v>PGT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Q18" t="str">
            <v>C</v>
          </cell>
          <cell r="R18" t="str">
            <v>FTS</v>
          </cell>
          <cell r="S18" t="str">
            <v>UG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Q19" t="str">
            <v>C</v>
          </cell>
          <cell r="R19" t="str">
            <v>FTS</v>
          </cell>
          <cell r="S19" t="str">
            <v>PGT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 t="str">
            <v>C</v>
          </cell>
          <cell r="R20" t="str">
            <v>SWOUT</v>
          </cell>
          <cell r="S20" t="str">
            <v>UG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 t="str">
            <v>C</v>
          </cell>
          <cell r="R21" t="str">
            <v>SWOUT</v>
          </cell>
          <cell r="S21" t="str">
            <v>PGT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C</v>
          </cell>
          <cell r="R22" t="str">
            <v>PT</v>
          </cell>
          <cell r="S22" t="str">
            <v>UG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 t="str">
            <v>C</v>
          </cell>
          <cell r="R23" t="str">
            <v>PT</v>
          </cell>
          <cell r="S23" t="str">
            <v>PGT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Q24" t="str">
            <v>D</v>
          </cell>
          <cell r="R24" t="str">
            <v>FTS</v>
          </cell>
          <cell r="S24" t="str">
            <v>UG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D</v>
          </cell>
          <cell r="R25" t="str">
            <v>FTS</v>
          </cell>
          <cell r="S25" t="str">
            <v>PGT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Q26" t="str">
            <v>D</v>
          </cell>
          <cell r="R26" t="str">
            <v>PT</v>
          </cell>
          <cell r="S26" t="str">
            <v>UG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 t="str">
            <v>D</v>
          </cell>
          <cell r="R27" t="str">
            <v>PT</v>
          </cell>
          <cell r="S27" t="str">
            <v>PGT</v>
          </cell>
        </row>
      </sheetData>
      <sheetData sheetId="22">
        <row r="7">
          <cell r="F7">
            <v>0</v>
          </cell>
          <cell r="S7" t="str">
            <v>NONMAIN11</v>
          </cell>
        </row>
        <row r="8">
          <cell r="F8">
            <v>0</v>
          </cell>
          <cell r="S8" t="str">
            <v>EEHBKTOT</v>
          </cell>
        </row>
        <row r="9">
          <cell r="F9">
            <v>0</v>
          </cell>
          <cell r="S9" t="str">
            <v>NETCOF11</v>
          </cell>
        </row>
        <row r="14">
          <cell r="Q14" t="str">
            <v>PRICEGRP</v>
          </cell>
          <cell r="R14" t="str">
            <v>MODE</v>
          </cell>
          <cell r="S14" t="str">
            <v>LEVEL</v>
          </cell>
          <cell r="T14" t="str">
            <v>COFFEE11</v>
          </cell>
        </row>
        <row r="15">
          <cell r="A15" t="str">
            <v>A</v>
          </cell>
          <cell r="B15" t="str">
            <v>FT</v>
          </cell>
          <cell r="C15" t="str">
            <v>UG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</v>
          </cell>
          <cell r="R15" t="str">
            <v>FTS</v>
          </cell>
          <cell r="S15" t="str">
            <v>UG</v>
          </cell>
          <cell r="T15">
            <v>1345</v>
          </cell>
        </row>
        <row r="16">
          <cell r="B16" t="str">
            <v>FT</v>
          </cell>
          <cell r="C16" t="str">
            <v>PGT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</v>
          </cell>
          <cell r="R16" t="str">
            <v>FTS</v>
          </cell>
          <cell r="S16" t="str">
            <v>PGT</v>
          </cell>
          <cell r="T16">
            <v>3670</v>
          </cell>
        </row>
        <row r="17">
          <cell r="B17" t="str">
            <v>PT</v>
          </cell>
          <cell r="C17" t="str">
            <v>UG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</v>
          </cell>
          <cell r="R17" t="str">
            <v>PT</v>
          </cell>
          <cell r="S17" t="str">
            <v>UG</v>
          </cell>
          <cell r="T17">
            <v>1345</v>
          </cell>
        </row>
        <row r="18">
          <cell r="B18" t="str">
            <v>PT</v>
          </cell>
          <cell r="C18" t="str">
            <v>PGT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Q18" t="str">
            <v>A</v>
          </cell>
          <cell r="R18" t="str">
            <v>PT</v>
          </cell>
          <cell r="S18" t="str">
            <v>PGT</v>
          </cell>
          <cell r="T18">
            <v>3670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Q19" t="str">
            <v>B</v>
          </cell>
          <cell r="R19" t="str">
            <v>FTS</v>
          </cell>
          <cell r="S19" t="str">
            <v>UG</v>
          </cell>
          <cell r="T19">
            <v>1345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 t="str">
            <v>B</v>
          </cell>
          <cell r="R20" t="str">
            <v>FTS</v>
          </cell>
          <cell r="S20" t="str">
            <v>PGT</v>
          </cell>
          <cell r="T20">
            <v>3670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Q21" t="str">
            <v>B</v>
          </cell>
          <cell r="R21" t="str">
            <v>PT</v>
          </cell>
          <cell r="S21" t="str">
            <v>UG</v>
          </cell>
          <cell r="T21">
            <v>1345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B</v>
          </cell>
          <cell r="R22" t="str">
            <v>PT</v>
          </cell>
          <cell r="S22" t="str">
            <v>PGT</v>
          </cell>
          <cell r="T22">
            <v>3670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 t="str">
            <v>C</v>
          </cell>
          <cell r="R23" t="str">
            <v>FTS</v>
          </cell>
          <cell r="S23" t="str">
            <v>UG</v>
          </cell>
          <cell r="T23">
            <v>1345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Q24" t="str">
            <v>C</v>
          </cell>
          <cell r="R24" t="str">
            <v>FTS</v>
          </cell>
          <cell r="S24" t="str">
            <v>PGT</v>
          </cell>
          <cell r="T24">
            <v>3670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C</v>
          </cell>
          <cell r="R25" t="str">
            <v>SWOUT</v>
          </cell>
          <cell r="S25" t="str">
            <v>UG</v>
          </cell>
          <cell r="T25">
            <v>1330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Q26" t="str">
            <v>C</v>
          </cell>
          <cell r="R26" t="str">
            <v>SWOUT</v>
          </cell>
          <cell r="S26" t="str">
            <v>PGT</v>
          </cell>
          <cell r="T26">
            <v>3670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 t="str">
            <v>C</v>
          </cell>
          <cell r="R27" t="str">
            <v>PT</v>
          </cell>
          <cell r="S27" t="str">
            <v>UG</v>
          </cell>
          <cell r="T27">
            <v>1345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Q28" t="str">
            <v>C</v>
          </cell>
          <cell r="R28" t="str">
            <v>PT</v>
          </cell>
          <cell r="S28" t="str">
            <v>PGT</v>
          </cell>
          <cell r="T28">
            <v>3670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Q29" t="str">
            <v>D</v>
          </cell>
          <cell r="R29" t="str">
            <v>FTS</v>
          </cell>
          <cell r="S29" t="str">
            <v>UG</v>
          </cell>
          <cell r="T29">
            <v>1345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Q30" t="str">
            <v>D</v>
          </cell>
          <cell r="R30" t="str">
            <v>FTS</v>
          </cell>
          <cell r="S30" t="str">
            <v>PGT</v>
          </cell>
          <cell r="T30">
            <v>3670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Q31" t="str">
            <v>D</v>
          </cell>
          <cell r="R31" t="str">
            <v>PT</v>
          </cell>
          <cell r="S31" t="str">
            <v>UG</v>
          </cell>
          <cell r="T31">
            <v>1345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D</v>
          </cell>
          <cell r="R32" t="str">
            <v>PT</v>
          </cell>
          <cell r="S32" t="str">
            <v>PGT</v>
          </cell>
          <cell r="T32">
            <v>3670</v>
          </cell>
        </row>
      </sheetData>
      <sheetData sheetId="23">
        <row r="7">
          <cell r="E7" t="str">
            <v>Places awarded to new FECs through the SNC margin</v>
          </cell>
          <cell r="F7" t="str">
            <v>Adjustments for transfers of 2012-13 FTEs</v>
          </cell>
        </row>
        <row r="8">
          <cell r="E8" t="str">
            <v>SNCMARGIN</v>
          </cell>
          <cell r="F8" t="str">
            <v>HCFTEADJ12</v>
          </cell>
          <cell r="K8" t="str">
            <v>PRICEGRP</v>
          </cell>
          <cell r="L8" t="str">
            <v>MODE</v>
          </cell>
          <cell r="M8" t="str">
            <v>LEVEL</v>
          </cell>
        </row>
        <row r="9">
          <cell r="A9" t="str">
            <v>A</v>
          </cell>
          <cell r="B9" t="str">
            <v>FT</v>
          </cell>
          <cell r="C9" t="str">
            <v>UG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K9" t="str">
            <v>A</v>
          </cell>
          <cell r="L9" t="str">
            <v>FTS</v>
          </cell>
          <cell r="M9" t="str">
            <v>UG</v>
          </cell>
        </row>
        <row r="10">
          <cell r="B10" t="str">
            <v>FT</v>
          </cell>
          <cell r="C10" t="str">
            <v>PGT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K10" t="str">
            <v>A</v>
          </cell>
          <cell r="L10" t="str">
            <v>FTS</v>
          </cell>
          <cell r="M10" t="str">
            <v>PGT</v>
          </cell>
        </row>
        <row r="11">
          <cell r="B11" t="str">
            <v>PT</v>
          </cell>
          <cell r="C11" t="str">
            <v>UG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 t="str">
            <v>A</v>
          </cell>
          <cell r="L11" t="str">
            <v>PT</v>
          </cell>
          <cell r="M11" t="str">
            <v>UG</v>
          </cell>
        </row>
        <row r="12">
          <cell r="B12" t="str">
            <v>PT</v>
          </cell>
          <cell r="C12" t="str">
            <v>PGT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 t="str">
            <v>A</v>
          </cell>
          <cell r="L12" t="str">
            <v>PT</v>
          </cell>
          <cell r="M12" t="str">
            <v>PGT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 t="str">
            <v>B</v>
          </cell>
          <cell r="L13" t="str">
            <v>FTS</v>
          </cell>
          <cell r="M13" t="str">
            <v>UG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B</v>
          </cell>
          <cell r="L14" t="str">
            <v>FTS</v>
          </cell>
          <cell r="M14" t="str">
            <v>PGT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B</v>
          </cell>
          <cell r="L15" t="str">
            <v>PT</v>
          </cell>
          <cell r="M15" t="str">
            <v>UG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B</v>
          </cell>
          <cell r="L16" t="str">
            <v>PT</v>
          </cell>
          <cell r="M16" t="str">
            <v>PGT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C</v>
          </cell>
          <cell r="L17" t="str">
            <v>FTS</v>
          </cell>
          <cell r="M17" t="str">
            <v>UG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C</v>
          </cell>
          <cell r="L18" t="str">
            <v>FTS</v>
          </cell>
          <cell r="M18" t="str">
            <v>PGT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C</v>
          </cell>
          <cell r="L19" t="str">
            <v>SWOUT</v>
          </cell>
          <cell r="M19" t="str">
            <v>UG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 t="str">
            <v>C</v>
          </cell>
          <cell r="L20" t="str">
            <v>SWOUT</v>
          </cell>
          <cell r="M20" t="str">
            <v>PGT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C</v>
          </cell>
          <cell r="L21" t="str">
            <v>PT</v>
          </cell>
          <cell r="M21" t="str">
            <v>UG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C</v>
          </cell>
          <cell r="L22" t="str">
            <v>PT</v>
          </cell>
          <cell r="M22" t="str">
            <v>PGT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D</v>
          </cell>
          <cell r="L23" t="str">
            <v>FTS</v>
          </cell>
          <cell r="M23" t="str">
            <v>UG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D</v>
          </cell>
          <cell r="L24" t="str">
            <v>FTS</v>
          </cell>
          <cell r="M24" t="str">
            <v>PGT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D</v>
          </cell>
          <cell r="L25" t="str">
            <v>PT</v>
          </cell>
          <cell r="M25" t="str">
            <v>UG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D</v>
          </cell>
          <cell r="L26" t="str">
            <v>PT</v>
          </cell>
          <cell r="M26" t="str">
            <v>PGT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1">
          <cell r="E31" t="str">
            <v>SNCMARGINB</v>
          </cell>
          <cell r="F31" t="str">
            <v>HCFTEADJ12</v>
          </cell>
        </row>
      </sheetData>
      <sheetData sheetId="24">
        <row r="11">
          <cell r="B11">
            <v>0</v>
          </cell>
          <cell r="K11" t="str">
            <v>FTYCAT1</v>
          </cell>
        </row>
        <row r="12">
          <cell r="B12">
            <v>0</v>
          </cell>
          <cell r="K12" t="str">
            <v>FTYCAT2</v>
          </cell>
        </row>
        <row r="13">
          <cell r="K13" t="str">
            <v>XX</v>
          </cell>
        </row>
        <row r="14">
          <cell r="B14">
            <v>0</v>
          </cell>
          <cell r="K14" t="str">
            <v>FTMCAT1</v>
          </cell>
        </row>
        <row r="15">
          <cell r="B15">
            <v>0</v>
          </cell>
          <cell r="K15" t="str">
            <v>FTMCAT2</v>
          </cell>
        </row>
        <row r="16">
          <cell r="K16" t="str">
            <v>XX</v>
          </cell>
        </row>
        <row r="17">
          <cell r="B17">
            <v>0</v>
          </cell>
          <cell r="K17" t="str">
            <v>FTALLCAT</v>
          </cell>
        </row>
        <row r="18">
          <cell r="B18">
            <v>0</v>
          </cell>
          <cell r="K18" t="str">
            <v>XX</v>
          </cell>
        </row>
        <row r="19">
          <cell r="K19" t="str">
            <v>XX</v>
          </cell>
        </row>
        <row r="20">
          <cell r="B20">
            <v>0</v>
          </cell>
          <cell r="K20" t="str">
            <v>FT</v>
          </cell>
        </row>
        <row r="21">
          <cell r="B21">
            <v>0</v>
          </cell>
          <cell r="K21" t="str">
            <v>LonWgt</v>
          </cell>
        </row>
        <row r="22">
          <cell r="B22">
            <v>0</v>
          </cell>
          <cell r="K22" t="str">
            <v>XX</v>
          </cell>
        </row>
        <row r="23">
          <cell r="K23" t="str">
            <v>XX</v>
          </cell>
        </row>
        <row r="24">
          <cell r="B24">
            <v>0</v>
          </cell>
          <cell r="K24" t="str">
            <v>WA_FT_Rate</v>
          </cell>
        </row>
        <row r="25">
          <cell r="K25" t="str">
            <v>XX</v>
          </cell>
        </row>
        <row r="26">
          <cell r="B26">
            <v>0</v>
          </cell>
          <cell r="K26" t="str">
            <v>WA_FT_12</v>
          </cell>
        </row>
        <row r="27">
          <cell r="K27" t="str">
            <v>XX</v>
          </cell>
        </row>
        <row r="28">
          <cell r="K28" t="str">
            <v>XX</v>
          </cell>
        </row>
        <row r="29">
          <cell r="B29">
            <v>0</v>
          </cell>
          <cell r="K29" t="str">
            <v>PTCAT1</v>
          </cell>
        </row>
        <row r="30">
          <cell r="B30">
            <v>0</v>
          </cell>
          <cell r="K30" t="str">
            <v>PTCAT2</v>
          </cell>
        </row>
        <row r="31">
          <cell r="K31" t="str">
            <v>XX</v>
          </cell>
        </row>
        <row r="32">
          <cell r="B32">
            <v>0</v>
          </cell>
          <cell r="K32" t="str">
            <v>PTUWgt</v>
          </cell>
        </row>
        <row r="33">
          <cell r="B33">
            <v>0</v>
          </cell>
          <cell r="K33" t="str">
            <v>XX</v>
          </cell>
        </row>
        <row r="34">
          <cell r="K34" t="str">
            <v>XX</v>
          </cell>
        </row>
        <row r="35">
          <cell r="B35">
            <v>0</v>
          </cell>
          <cell r="K35" t="str">
            <v>PT</v>
          </cell>
        </row>
        <row r="36">
          <cell r="B36">
            <v>0</v>
          </cell>
          <cell r="K36" t="str">
            <v>XX</v>
          </cell>
        </row>
        <row r="37">
          <cell r="B37">
            <v>0</v>
          </cell>
          <cell r="K37" t="str">
            <v>XX</v>
          </cell>
        </row>
        <row r="38">
          <cell r="K38" t="str">
            <v>XX</v>
          </cell>
        </row>
        <row r="39">
          <cell r="B39">
            <v>0</v>
          </cell>
          <cell r="K39" t="str">
            <v>WA_PT_Rate</v>
          </cell>
        </row>
        <row r="40">
          <cell r="K40" t="str">
            <v>XX</v>
          </cell>
        </row>
        <row r="41">
          <cell r="B41">
            <v>0</v>
          </cell>
          <cell r="K41" t="str">
            <v>WA_PT_12</v>
          </cell>
        </row>
        <row r="42">
          <cell r="K42" t="str">
            <v>XX</v>
          </cell>
        </row>
        <row r="43">
          <cell r="K43" t="str">
            <v>XX</v>
          </cell>
        </row>
        <row r="44">
          <cell r="B44">
            <v>0</v>
          </cell>
          <cell r="K44" t="str">
            <v>DISALLOC</v>
          </cell>
        </row>
        <row r="45">
          <cell r="B45">
            <v>0</v>
          </cell>
          <cell r="K45" t="str">
            <v>DISPOP</v>
          </cell>
        </row>
        <row r="46">
          <cell r="B46">
            <v>0</v>
          </cell>
          <cell r="K46" t="str">
            <v>XX</v>
          </cell>
        </row>
        <row r="47">
          <cell r="K47" t="str">
            <v>XX</v>
          </cell>
        </row>
        <row r="48">
          <cell r="B48">
            <v>0</v>
          </cell>
          <cell r="K48" t="str">
            <v>DISW12</v>
          </cell>
        </row>
        <row r="49">
          <cell r="B49">
            <v>0</v>
          </cell>
          <cell r="K49" t="str">
            <v>DISFTE12</v>
          </cell>
        </row>
        <row r="50">
          <cell r="B50">
            <v>0</v>
          </cell>
          <cell r="K50" t="str">
            <v>XX</v>
          </cell>
        </row>
        <row r="51">
          <cell r="K51" t="str">
            <v>XX</v>
          </cell>
        </row>
        <row r="52">
          <cell r="B52">
            <v>0</v>
          </cell>
          <cell r="K52" t="str">
            <v>DISRATE</v>
          </cell>
        </row>
        <row r="53">
          <cell r="B53">
            <v>0</v>
          </cell>
          <cell r="K53" t="str">
            <v>Min</v>
          </cell>
        </row>
        <row r="54">
          <cell r="K54" t="str">
            <v>XX</v>
          </cell>
        </row>
        <row r="55">
          <cell r="B55">
            <v>0</v>
          </cell>
          <cell r="K55" t="str">
            <v>DISABLED</v>
          </cell>
        </row>
        <row r="56">
          <cell r="K56" t="str">
            <v>XX</v>
          </cell>
        </row>
        <row r="59">
          <cell r="K59" t="str">
            <v>FEC indicator</v>
          </cell>
        </row>
        <row r="61">
          <cell r="J61" t="str">
            <v>DISFTE</v>
          </cell>
          <cell r="K61" t="str">
            <v>MINIMUM</v>
          </cell>
        </row>
        <row r="62">
          <cell r="J62">
            <v>0</v>
          </cell>
          <cell r="K62">
            <v>500</v>
          </cell>
        </row>
        <row r="63">
          <cell r="J63">
            <v>50</v>
          </cell>
          <cell r="K63">
            <v>1000</v>
          </cell>
        </row>
        <row r="64">
          <cell r="J64">
            <v>250</v>
          </cell>
          <cell r="K64">
            <v>5000</v>
          </cell>
        </row>
        <row r="65">
          <cell r="J65">
            <v>500</v>
          </cell>
          <cell r="K65">
            <v>10000</v>
          </cell>
        </row>
        <row r="67">
          <cell r="J67" t="str">
            <v>DISPROP</v>
          </cell>
          <cell r="K67" t="str">
            <v>QWEIGHT</v>
          </cell>
        </row>
        <row r="68">
          <cell r="J68">
            <v>0</v>
          </cell>
          <cell r="K68">
            <v>1</v>
          </cell>
        </row>
        <row r="69">
          <cell r="I69" t="str">
            <v>update these quartiles if they change after March allocation!</v>
          </cell>
          <cell r="J69">
            <v>0.035242291</v>
          </cell>
          <cell r="K69">
            <v>2</v>
          </cell>
        </row>
        <row r="70">
          <cell r="J70">
            <v>0.045590115</v>
          </cell>
          <cell r="K70">
            <v>3</v>
          </cell>
        </row>
        <row r="71">
          <cell r="J71">
            <v>0.0642763446</v>
          </cell>
          <cell r="K71">
            <v>4</v>
          </cell>
        </row>
        <row r="73">
          <cell r="I73" t="str">
            <v>WA_FT_12</v>
          </cell>
          <cell r="J73" t="str">
            <v>PTCAT1</v>
          </cell>
          <cell r="K73" t="str">
            <v>PTCAT2</v>
          </cell>
        </row>
        <row r="76">
          <cell r="I76">
            <v>1</v>
          </cell>
          <cell r="J76">
            <v>1</v>
          </cell>
          <cell r="K76">
            <v>1</v>
          </cell>
        </row>
      </sheetData>
      <sheetData sheetId="25">
        <row r="9">
          <cell r="K9" t="str">
            <v>XX</v>
          </cell>
        </row>
        <row r="11">
          <cell r="B11">
            <v>0</v>
          </cell>
          <cell r="K11" t="str">
            <v>YMWFTE</v>
          </cell>
        </row>
        <row r="12">
          <cell r="B12">
            <v>0</v>
          </cell>
          <cell r="K12" t="str">
            <v>YHWFTE</v>
          </cell>
        </row>
        <row r="13">
          <cell r="B13">
            <v>0</v>
          </cell>
          <cell r="K13" t="str">
            <v>MMWFTE</v>
          </cell>
        </row>
        <row r="14">
          <cell r="B14">
            <v>0</v>
          </cell>
          <cell r="K14" t="str">
            <v>MHWFTE</v>
          </cell>
        </row>
        <row r="15">
          <cell r="K15" t="str">
            <v>XX</v>
          </cell>
        </row>
        <row r="16">
          <cell r="B16">
            <v>0</v>
          </cell>
          <cell r="K16" t="str">
            <v>UnWgt</v>
          </cell>
        </row>
        <row r="17">
          <cell r="B17">
            <v>0</v>
          </cell>
          <cell r="K17" t="str">
            <v>XX</v>
          </cell>
        </row>
        <row r="18">
          <cell r="K18" t="str">
            <v>XX</v>
          </cell>
        </row>
        <row r="19">
          <cell r="B19">
            <v>0</v>
          </cell>
          <cell r="K19" t="str">
            <v>FT</v>
          </cell>
        </row>
        <row r="20">
          <cell r="B20">
            <v>0</v>
          </cell>
          <cell r="K20" t="str">
            <v>LonWgt</v>
          </cell>
        </row>
        <row r="21">
          <cell r="B21">
            <v>0</v>
          </cell>
          <cell r="K21" t="str">
            <v>XX</v>
          </cell>
        </row>
        <row r="22">
          <cell r="K22" t="str">
            <v>XX</v>
          </cell>
        </row>
        <row r="23">
          <cell r="B23">
            <v>0</v>
          </cell>
          <cell r="K23" t="str">
            <v>IR_FT_Rate</v>
          </cell>
        </row>
        <row r="24">
          <cell r="K24" t="str">
            <v>XX</v>
          </cell>
        </row>
        <row r="25">
          <cell r="B25">
            <v>0</v>
          </cell>
          <cell r="K25" t="str">
            <v>IR_FT_12</v>
          </cell>
        </row>
        <row r="26">
          <cell r="K26" t="str">
            <v>XX</v>
          </cell>
        </row>
        <row r="27">
          <cell r="K27" t="str">
            <v>XX</v>
          </cell>
        </row>
        <row r="28">
          <cell r="B28">
            <v>0</v>
          </cell>
          <cell r="K28" t="str">
            <v>PT</v>
          </cell>
        </row>
        <row r="29">
          <cell r="B29">
            <v>0</v>
          </cell>
          <cell r="K29" t="str">
            <v>XX</v>
          </cell>
        </row>
        <row r="30">
          <cell r="B30">
            <v>0</v>
          </cell>
          <cell r="K30" t="str">
            <v>IR_PT_Rate</v>
          </cell>
        </row>
        <row r="31">
          <cell r="K31" t="str">
            <v>XX</v>
          </cell>
        </row>
        <row r="32">
          <cell r="B32">
            <v>0</v>
          </cell>
          <cell r="K32" t="str">
            <v>IR_PT_12</v>
          </cell>
        </row>
        <row r="33">
          <cell r="K33" t="str">
            <v>XX</v>
          </cell>
        </row>
        <row r="34">
          <cell r="K34" t="str">
            <v>XX</v>
          </cell>
        </row>
        <row r="35">
          <cell r="K35" t="str">
            <v>IR_PT_Rate</v>
          </cell>
        </row>
        <row r="40">
          <cell r="K40">
            <v>1</v>
          </cell>
        </row>
      </sheetData>
      <sheetData sheetId="26">
        <row r="45">
          <cell r="B45" t="str">
            <v>Assignment of price groups for funding purposes:</v>
          </cell>
        </row>
        <row r="46">
          <cell r="C46" t="str">
            <v>Proportion of FTEs to be funded in price group</v>
          </cell>
        </row>
        <row r="47">
          <cell r="C47" t="str">
            <v>B</v>
          </cell>
          <cell r="D47" t="str">
            <v>C</v>
          </cell>
          <cell r="E47" t="str">
            <v>D</v>
          </cell>
        </row>
        <row r="48">
          <cell r="B48" t="str">
            <v>Media studies</v>
          </cell>
          <cell r="C48" t="str">
            <v>0</v>
          </cell>
          <cell r="D48" t="str">
            <v>0</v>
          </cell>
          <cell r="E48" t="str">
            <v>0</v>
          </cell>
        </row>
      </sheetData>
      <sheetData sheetId="27">
        <row r="7">
          <cell r="Y7" t="str">
            <v>xx</v>
          </cell>
        </row>
        <row r="8">
          <cell r="E8">
            <v>0</v>
          </cell>
          <cell r="Y8" t="str">
            <v>TRADQR12</v>
          </cell>
        </row>
        <row r="9">
          <cell r="E9">
            <v>0</v>
          </cell>
          <cell r="Y9" t="str">
            <v>LECALLN12</v>
          </cell>
        </row>
        <row r="10">
          <cell r="E10">
            <v>0</v>
          </cell>
          <cell r="Y10" t="str">
            <v>CHARSUPP12</v>
          </cell>
        </row>
        <row r="11">
          <cell r="E11">
            <v>0</v>
          </cell>
          <cell r="Y11" t="str">
            <v>INDSUPP12</v>
          </cell>
        </row>
        <row r="12">
          <cell r="E12">
            <v>0</v>
          </cell>
          <cell r="Y12" t="str">
            <v>PGRALLN12</v>
          </cell>
        </row>
        <row r="13">
          <cell r="E13">
            <v>0</v>
          </cell>
          <cell r="Y13" t="str">
            <v>SPECLIB12</v>
          </cell>
        </row>
        <row r="14">
          <cell r="E14">
            <v>0</v>
          </cell>
          <cell r="Y14" t="str">
            <v>R_TOT12</v>
          </cell>
        </row>
        <row r="20">
          <cell r="G20" t="str">
            <v>Overall quality profile (%)</v>
          </cell>
          <cell r="L20" t="str">
            <v>Volume (notional staff FTE)</v>
          </cell>
          <cell r="R20" t="str">
            <v>Quality-weighted volume</v>
          </cell>
        </row>
        <row r="21">
          <cell r="A21" t="str">
            <v>Main panel</v>
          </cell>
          <cell r="B21" t="str">
            <v>Unit of assessment</v>
          </cell>
          <cell r="E21" t="str">
            <v>4*</v>
          </cell>
          <cell r="F21" t="str">
            <v>3*</v>
          </cell>
          <cell r="G21" t="str">
            <v>2*</v>
          </cell>
          <cell r="H21" t="str">
            <v>1*</v>
          </cell>
          <cell r="I21" t="str">
            <v>Unclassified</v>
          </cell>
          <cell r="J21" t="str">
            <v>4*</v>
          </cell>
          <cell r="K21" t="str">
            <v>3*</v>
          </cell>
          <cell r="L21" t="str">
            <v>2*</v>
          </cell>
          <cell r="M21" t="str">
            <v>1*</v>
          </cell>
          <cell r="N21" t="str">
            <v>Unclassified</v>
          </cell>
          <cell r="O21" t="str">
            <v>Total funded volume</v>
          </cell>
          <cell r="P21" t="str">
            <v>4*</v>
          </cell>
          <cell r="Q21" t="str">
            <v>3*</v>
          </cell>
          <cell r="R21" t="str">
            <v>2*</v>
          </cell>
          <cell r="S21" t="str">
            <v>1*</v>
          </cell>
          <cell r="T21" t="str">
            <v>Unclassified</v>
          </cell>
          <cell r="U21" t="str">
            <v>Total</v>
          </cell>
          <cell r="V21" t="str">
            <v>Mainstream QR funds</v>
          </cell>
          <cell r="W21" t="str">
            <v>London weighting on mainstream QR</v>
          </cell>
        </row>
      </sheetData>
      <sheetData sheetId="28"/>
      <sheetData sheetId="29"/>
      <sheetData sheetId="30">
        <row r="7">
          <cell r="E7" t="str">
            <v>Places awarded to new FECs through the SNC margin</v>
          </cell>
          <cell r="F7" t="str">
            <v>Adjustments for transfers of 2012-13 FTEs</v>
          </cell>
        </row>
        <row r="8">
          <cell r="E8" t="str">
            <v>SNCMARGIN</v>
          </cell>
          <cell r="F8" t="str">
            <v>HCFTEADJ12</v>
          </cell>
        </row>
        <row r="9">
          <cell r="A9" t="str">
            <v>A</v>
          </cell>
          <cell r="B9" t="str">
            <v>FT</v>
          </cell>
          <cell r="C9" t="str">
            <v>UG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 t="str">
            <v>FT</v>
          </cell>
          <cell r="C10" t="str">
            <v>PGT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B11" t="str">
            <v>PT</v>
          </cell>
          <cell r="C11" t="str">
            <v>UG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 t="str">
            <v>PT</v>
          </cell>
          <cell r="C12" t="str">
            <v>PGT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d2p1="http://schemas.openxmlformats.org/officeDocument/2006/relationships" d2p1:id="rId1">
    <sheetNames>
      <sheetName val="Summary by division (2)"/>
      <sheetName val="Summary by division (1)"/>
      <sheetName val="Mainstream QR &amp; LW"/>
      <sheetName val="QR Charity support fund"/>
      <sheetName val="QR business research element"/>
      <sheetName val="RDP supervision fund"/>
      <sheetName val="RDP FTEs by Division"/>
      <sheetName val="HEFCE grant Table_J"/>
      <sheetName val="HEFCE grant Table_K"/>
    </sheetNames>
    <sheetDataSet>
      <sheetData sheetId="0"/>
      <sheetData sheetId="1"/>
      <sheetData sheetId="2">
        <row r="7">
          <cell r="A7" t="str">
            <v>BMS</v>
          </cell>
        </row>
      </sheetData>
      <sheetData sheetId="3">
        <row r="23">
          <cell r="A23" t="str">
            <v>BMS</v>
          </cell>
        </row>
      </sheetData>
      <sheetData sheetId="4"/>
      <sheetData sheetId="5">
        <row r="7">
          <cell r="A7" t="str">
            <v>BMS</v>
          </cell>
        </row>
      </sheetData>
      <sheetData sheetId="6"/>
      <sheetData sheetId="7">
        <row r="8">
          <cell r="E8">
            <v>2313044</v>
          </cell>
        </row>
        <row r="9">
          <cell r="E9">
            <v>277566</v>
          </cell>
        </row>
        <row r="10">
          <cell r="E10">
            <v>1379859</v>
          </cell>
        </row>
        <row r="11">
          <cell r="E11">
            <v>93414</v>
          </cell>
        </row>
        <row r="12">
          <cell r="E12">
            <v>400173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d2p1="http://schemas.openxmlformats.org/officeDocument/2006/relationships" d2p1:id="rId1">
    <sheetNames>
      <sheetName val="Summary Changes"/>
      <sheetName val="Changes Draft1 v Draft2"/>
      <sheetName val="Summary"/>
      <sheetName val="Core Facs"/>
      <sheetName val="Commercial"/>
      <sheetName val="Income"/>
      <sheetName val="Teaching income"/>
      <sheetName val="Table_A HEFCE grant letter"/>
      <sheetName val="HEFCE research funds"/>
      <sheetName val="Direct Expenditure"/>
      <sheetName val="Indirect Expenditure"/>
      <sheetName val="Overheads"/>
      <sheetName val="Cost drivers"/>
      <sheetName val="Staff numbers"/>
      <sheetName val="Summ"/>
      <sheetName val="Prof"/>
      <sheetName val="Budget Changes"/>
    </sheetNames>
    <sheetDataSet>
      <sheetData sheetId="0"/>
      <sheetData sheetId="1"/>
      <sheetData sheetId="2">
        <row r="1">
          <cell r="A1" t="str">
            <v>2nd Draft Working Paper of SGUL Resource Allocation Model 13/14 (v5)</v>
          </cell>
        </row>
      </sheetData>
      <sheetData sheetId="3">
        <row r="11">
          <cell r="I11">
            <v>380.7216494845361</v>
          </cell>
        </row>
      </sheetData>
      <sheetData sheetId="4">
        <row r="11">
          <cell r="N11">
            <v>6485.9072164948457</v>
          </cell>
        </row>
      </sheetData>
      <sheetData sheetId="5">
        <row r="9">
          <cell r="C9">
            <v>4784.8814253873779</v>
          </cell>
        </row>
      </sheetData>
      <sheetData sheetId="6"/>
      <sheetData sheetId="7">
        <row r="38">
          <cell r="A38">
            <v>12525850</v>
          </cell>
          <cell r="B38">
            <v>0</v>
          </cell>
          <cell r="C38">
            <v>2785139</v>
          </cell>
          <cell r="D38">
            <v>250546</v>
          </cell>
          <cell r="E38">
            <v>633848</v>
          </cell>
          <cell r="F38">
            <v>664020</v>
          </cell>
          <cell r="G38">
            <v>16859403</v>
          </cell>
          <cell r="H38">
            <v>4464056</v>
          </cell>
          <cell r="I38">
            <v>934795</v>
          </cell>
          <cell r="J38">
            <v>22258254</v>
          </cell>
          <cell r="K38">
            <v>0</v>
          </cell>
        </row>
      </sheetData>
      <sheetData sheetId="8"/>
      <sheetData sheetId="9">
        <row r="24">
          <cell r="D24">
            <v>-4803.7759169848314</v>
          </cell>
        </row>
      </sheetData>
      <sheetData sheetId="10"/>
      <sheetData sheetId="11">
        <row r="13">
          <cell r="X13">
            <v>-437.51628365494571</v>
          </cell>
        </row>
      </sheetData>
      <sheetData sheetId="12">
        <row r="5">
          <cell r="T5" t="str">
            <v>BMS</v>
          </cell>
        </row>
      </sheetData>
      <sheetData sheetId="13">
        <row r="42">
          <cell r="A42" t="str">
            <v>Count of FPE</v>
          </cell>
        </row>
      </sheetData>
      <sheetData sheetId="14">
        <row r="87">
          <cell r="Q87">
            <v>-6345</v>
          </cell>
        </row>
      </sheetData>
      <sheetData sheetId="15">
        <row r="7">
          <cell r="U7">
            <v>-937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B27"/>
  <sheetViews>
    <sheetView view="normal" tabSelected="1" workbookViewId="0">
      <selection pane="topLeft" activeCell="E21" sqref="E21"/>
    </sheetView>
  </sheetViews>
  <sheetFormatPr defaultRowHeight="15"/>
  <cols>
    <col min="1" max="1" width="3.375" customWidth="1"/>
  </cols>
  <sheetData>
    <row r="1" spans="2:2">
      <c r="B1" s="92" t="s">
        <v>88</v>
      </c>
    </row>
    <row r="2" spans="2:2">
      <c r="B2" s="92"/>
    </row>
    <row r="3" spans="2:2">
      <c r="B3" s="92" t="s">
        <v>99</v>
      </c>
    </row>
    <row r="4" spans="1:2">
      <c r="A4" t="s">
        <v>85</v>
      </c>
      <c r="B4" s="131" t="s">
        <v>141</v>
      </c>
    </row>
    <row r="5" spans="1:2">
      <c r="A5" t="s">
        <v>86</v>
      </c>
      <c r="B5" s="108" t="s">
        <v>142</v>
      </c>
    </row>
    <row r="6" spans="1:2">
      <c r="A6" t="s">
        <v>87</v>
      </c>
      <c r="B6" s="108" t="s">
        <v>143</v>
      </c>
    </row>
    <row r="7" spans="1:2">
      <c r="A7" t="s">
        <v>89</v>
      </c>
      <c r="B7" s="108" t="s">
        <v>149</v>
      </c>
    </row>
    <row r="8" spans="1:2">
      <c r="A8" t="s">
        <v>90</v>
      </c>
      <c r="B8" s="108"/>
    </row>
    <row r="9" spans="1:1">
      <c r="A9" t="s">
        <v>128</v>
      </c>
    </row>
    <row r="11" spans="2:2">
      <c r="B11" s="92"/>
    </row>
    <row r="12" spans="2:2">
      <c r="B12" s="92" t="s">
        <v>101</v>
      </c>
    </row>
    <row r="13" spans="1:2">
      <c r="A13" t="s">
        <v>85</v>
      </c>
      <c r="B13" s="108"/>
    </row>
    <row r="14" spans="1:1">
      <c r="A14" t="s">
        <v>86</v>
      </c>
    </row>
    <row r="15" spans="1:1">
      <c r="A15" t="s">
        <v>87</v>
      </c>
    </row>
    <row r="16" spans="1:1">
      <c r="A16" t="s">
        <v>89</v>
      </c>
    </row>
    <row r="17" spans="1:1">
      <c r="A17" t="s">
        <v>90</v>
      </c>
    </row>
    <row r="18" spans="1:1">
      <c r="A18" t="s">
        <v>128</v>
      </c>
    </row>
    <row r="21" spans="2:2">
      <c r="B21" s="92" t="s">
        <v>103</v>
      </c>
    </row>
    <row r="22" spans="1:1">
      <c r="A22" t="s">
        <v>89</v>
      </c>
    </row>
    <row r="23" spans="1:1">
      <c r="A23" t="s">
        <v>90</v>
      </c>
    </row>
    <row r="24" spans="1:1">
      <c r="A24" t="s">
        <v>128</v>
      </c>
    </row>
    <row r="25" spans="1:1">
      <c r="A25" t="s">
        <v>91</v>
      </c>
    </row>
    <row r="26" spans="1:1">
      <c r="A26" t="s">
        <v>92</v>
      </c>
    </row>
    <row r="27" spans="1:1">
      <c r="A27" t="s">
        <v>138</v>
      </c>
    </row>
  </sheetData>
  <pageMargins left="0.7" right="0.7" top="0.75" bottom="0.75" header="0.3" footer="0.3"/>
  <pageSetup paperSize="9" scale="90" orientation="landscape"/>
  <headerFooter scaleWithDoc="1" alignWithMargins="0" differentFirst="0" differentOddEven="0"/>
  <extLst/>
</worksheet>
</file>

<file path=xl/worksheets/sheet10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N66"/>
  <sheetViews>
    <sheetView topLeftCell="A11" view="normal" workbookViewId="0">
      <selection pane="topLeft" activeCell="A2" sqref="A2:XFD10"/>
    </sheetView>
  </sheetViews>
  <sheetFormatPr defaultRowHeight="12.75"/>
  <cols>
    <col min="1" max="11" width="9.125" style="313" customWidth="1"/>
    <col min="12" max="12" width="10.125" style="313" bestFit="1" customWidth="1"/>
    <col min="13" max="16384" width="9.125" style="313" customWidth="1"/>
  </cols>
  <sheetData>
    <row r="1" spans="7:14" hidden="1">
      <c r="G1" s="314" t="s">
        <v>167</v>
      </c>
      <c r="H1" s="314"/>
      <c r="K1" s="315" t="s">
        <v>168</v>
      </c>
      <c r="L1" s="316">
        <v>6136</v>
      </c>
      <c r="M1" s="317" t="s">
        <v>169</v>
      </c>
      <c r="N1" s="318"/>
    </row>
    <row r="2" spans="7:14" hidden="1">
      <c r="G2" s="319">
        <v>0.211</v>
      </c>
      <c r="H2" s="320"/>
      <c r="K2" s="315" t="s">
        <v>170</v>
      </c>
      <c r="L2" s="316">
        <v>50000</v>
      </c>
      <c r="M2" s="321"/>
      <c r="N2" s="322"/>
    </row>
    <row r="3" spans="11:14" hidden="1">
      <c r="K3" s="315" t="s">
        <v>171</v>
      </c>
      <c r="L3" s="316">
        <v>8632</v>
      </c>
      <c r="M3" s="321" t="s">
        <v>172</v>
      </c>
      <c r="N3" s="323">
        <v>0</v>
      </c>
    </row>
    <row r="4" spans="7:14" hidden="1">
      <c r="G4" s="313" t="s">
        <v>173</v>
      </c>
      <c r="K4" s="324" t="s">
        <v>174</v>
      </c>
      <c r="L4" s="325">
        <v>8632</v>
      </c>
      <c r="M4" s="326" t="s">
        <v>175</v>
      </c>
      <c r="N4" s="327">
        <v>0.138</v>
      </c>
    </row>
    <row r="5" spans="7:14" hidden="1">
      <c r="G5" s="320">
        <v>0.16</v>
      </c>
      <c r="H5" s="320"/>
      <c r="K5" s="315" t="s">
        <v>176</v>
      </c>
      <c r="L5" s="316">
        <v>50000</v>
      </c>
      <c r="M5" s="328" t="s">
        <v>177</v>
      </c>
      <c r="N5" s="329">
        <v>0.138</v>
      </c>
    </row>
    <row r="6" spans="1:1" hidden="1">
      <c r="A6"/>
    </row>
    <row r="7" spans="1:1" hidden="1">
      <c r="A7"/>
    </row>
    <row r="8" spans="1:1" hidden="1">
      <c r="A8"/>
    </row>
    <row r="9" spans="1:1" hidden="1">
      <c r="A9"/>
    </row>
    <row r="10" spans="1:1" hidden="1">
      <c r="A10"/>
    </row>
    <row r="11" spans="2:11" ht="21" thickBot="1">
      <c r="B11" s="330" t="s">
        <v>313</v>
      </c>
      <c r="C11" s="331"/>
      <c r="D11" s="331"/>
      <c r="E11" s="331"/>
      <c r="F11" s="331"/>
      <c r="G11" s="331"/>
      <c r="H11" s="331"/>
      <c r="I11" s="331"/>
      <c r="J11" s="331"/>
      <c r="K11" s="331"/>
    </row>
    <row r="12" spans="2:11" ht="21" thickBot="1">
      <c r="B12" s="332"/>
      <c r="C12" s="333"/>
      <c r="D12" s="333"/>
      <c r="E12" s="333"/>
      <c r="F12" s="333"/>
      <c r="G12" s="333"/>
      <c r="H12" s="333"/>
      <c r="I12" s="333"/>
      <c r="J12" s="333"/>
      <c r="K12" s="333"/>
    </row>
    <row r="13" spans="1:14" ht="38.25">
      <c r="A13" s="334" t="s">
        <v>178</v>
      </c>
      <c r="B13" s="335" t="s">
        <v>179</v>
      </c>
      <c r="C13" s="336" t="s">
        <v>180</v>
      </c>
      <c r="D13" s="336" t="s">
        <v>181</v>
      </c>
      <c r="E13" s="336" t="s">
        <v>182</v>
      </c>
      <c r="F13" s="337" t="s">
        <v>183</v>
      </c>
      <c r="G13" s="338"/>
      <c r="H13" s="338"/>
      <c r="I13" s="339"/>
      <c r="J13" s="336" t="s">
        <v>184</v>
      </c>
      <c r="K13" s="336" t="s">
        <v>185</v>
      </c>
      <c r="L13" s="336" t="s">
        <v>186</v>
      </c>
      <c r="M13" s="336" t="s">
        <v>187</v>
      </c>
      <c r="N13" s="340" t="s">
        <v>188</v>
      </c>
    </row>
    <row r="14" spans="1:14" ht="13.5" thickBot="1">
      <c r="A14" s="341"/>
      <c r="B14" s="342"/>
      <c r="C14" s="343"/>
      <c r="D14" s="343"/>
      <c r="E14" s="343"/>
      <c r="F14" s="344" t="s">
        <v>189</v>
      </c>
      <c r="G14" s="344" t="s">
        <v>190</v>
      </c>
      <c r="H14" s="342" t="s">
        <v>191</v>
      </c>
      <c r="I14" s="342" t="s">
        <v>182</v>
      </c>
      <c r="J14" s="343"/>
      <c r="K14" s="343">
        <v>12</v>
      </c>
      <c r="L14" s="343">
        <v>220</v>
      </c>
      <c r="M14" s="343">
        <v>44</v>
      </c>
      <c r="N14" s="345">
        <v>1650</v>
      </c>
    </row>
    <row r="15" spans="1:14">
      <c r="A15" s="346">
        <v>1</v>
      </c>
      <c r="B15" s="347">
        <v>1</v>
      </c>
      <c r="C15" s="348">
        <v>0</v>
      </c>
      <c r="D15" s="349">
        <v>0</v>
      </c>
      <c r="E15" s="349">
        <f>C15+D15</f>
        <v>0</v>
      </c>
      <c r="F15" s="349">
        <f>ROUND(E15*$G$5,0)</f>
        <v>0</v>
      </c>
      <c r="G15" s="350">
        <v>0</v>
      </c>
      <c r="H15" s="350">
        <f>E15/100*0.5</f>
        <v>0</v>
      </c>
      <c r="I15" s="349">
        <f>SUM(F15:H15)</f>
        <v>0</v>
      </c>
      <c r="J15" s="349">
        <f>I15+E15</f>
        <v>0</v>
      </c>
      <c r="K15" s="350">
        <f>J15/$K$14</f>
        <v>0</v>
      </c>
      <c r="L15" s="350">
        <f>J15/$L$14</f>
        <v>0</v>
      </c>
      <c r="M15" s="350">
        <f>J15/$M$14</f>
        <v>0</v>
      </c>
      <c r="N15" s="351">
        <f>J15/$N$14</f>
        <v>0</v>
      </c>
    </row>
    <row r="16" spans="1:14">
      <c r="A16" s="352"/>
      <c r="B16" s="347">
        <v>2</v>
      </c>
      <c r="C16" s="200">
        <v>0</v>
      </c>
      <c r="D16" s="349">
        <v>0</v>
      </c>
      <c r="E16" s="349">
        <f>C16+D16</f>
        <v>0</v>
      </c>
      <c r="F16" s="349">
        <f>ROUND(E16*$G$5,0)</f>
        <v>0</v>
      </c>
      <c r="G16" s="350">
        <v>0</v>
      </c>
      <c r="H16" s="350">
        <f>E16/100*0.5</f>
        <v>0</v>
      </c>
      <c r="I16" s="349">
        <f>SUM(F16:H16)</f>
        <v>0</v>
      </c>
      <c r="J16" s="349">
        <f>I16+E16</f>
        <v>0</v>
      </c>
      <c r="K16" s="350">
        <f>J16/$K$14</f>
        <v>0</v>
      </c>
      <c r="L16" s="350">
        <f>J16/$L$14</f>
        <v>0</v>
      </c>
      <c r="M16" s="350">
        <f>J16/$M$14</f>
        <v>0</v>
      </c>
      <c r="N16" s="351">
        <f>J16/$N$14</f>
        <v>0</v>
      </c>
    </row>
    <row r="17" spans="1:14">
      <c r="A17" s="352"/>
      <c r="B17" s="347">
        <v>3</v>
      </c>
      <c r="C17" s="200">
        <v>16736</v>
      </c>
      <c r="D17" s="349">
        <v>3147</v>
      </c>
      <c r="E17" s="349">
        <f>C17+D17</f>
        <v>19883</v>
      </c>
      <c r="F17" s="349">
        <f>ROUND(E17*$G$5,0)</f>
        <v>3181</v>
      </c>
      <c r="G17" s="350">
        <f>IF(E17&gt;$L$5,$N$5*(E17-$L$5)+$N$4*($L$5-$L$4)+$N$3*($L$4-$L$1),IF($L$5&gt;E17&gt;$L$4,$N$4*(E17-$L$4)+$N$3*($L$4-$L$1),0))</f>
        <v>1552.6380000000001</v>
      </c>
      <c r="H17" s="350">
        <f>E17/100*0.5</f>
        <v>99.415</v>
      </c>
      <c r="I17" s="349">
        <f>SUM(F17:H17)</f>
        <v>4833.053</v>
      </c>
      <c r="J17" s="349">
        <f>I17+E17</f>
        <v>24716.053</v>
      </c>
      <c r="K17" s="350">
        <f>J17/$K$14</f>
        <v>2059.6710833333332</v>
      </c>
      <c r="L17" s="350">
        <f>J17/$L$14</f>
        <v>112.34569545454545</v>
      </c>
      <c r="M17" s="350">
        <f>J17/$M$14</f>
        <v>561.72847727272722</v>
      </c>
      <c r="N17" s="351">
        <f>J17/$N$14</f>
        <v>14.979426060606061</v>
      </c>
    </row>
    <row r="18" spans="1:14">
      <c r="A18" s="352"/>
      <c r="B18" s="347">
        <v>4</v>
      </c>
      <c r="C18" s="200">
        <v>17046</v>
      </c>
      <c r="D18" s="349">
        <v>3147</v>
      </c>
      <c r="E18" s="349">
        <f>C18+D18</f>
        <v>20193</v>
      </c>
      <c r="F18" s="349">
        <f>ROUND(E18*$G$5,0)</f>
        <v>3231</v>
      </c>
      <c r="G18" s="350">
        <f>IF(E18&gt;$L$5,$N$5*(E18-$L$5)+$N$4*($L$5-$L$4)+$N$3*($L$4-$L$1),IF($L$5&gt;E18&gt;$L$4,$N$4*(E18-$L$4)+$N$3*($L$4-$L$1),0))</f>
        <v>1595.4180000000001</v>
      </c>
      <c r="H18" s="350">
        <f>E18/100*0.5</f>
        <v>100.965</v>
      </c>
      <c r="I18" s="349">
        <f>SUM(F18:H18)</f>
        <v>4927.383</v>
      </c>
      <c r="J18" s="349">
        <f>I18+E18</f>
        <v>25120.383</v>
      </c>
      <c r="K18" s="350">
        <f>J18/$K$14</f>
        <v>2093.3652500000003</v>
      </c>
      <c r="L18" s="350">
        <f>J18/$L$14</f>
        <v>114.1835590909091</v>
      </c>
      <c r="M18" s="350">
        <f>J18/$M$14</f>
        <v>570.91779545454551</v>
      </c>
      <c r="N18" s="351">
        <f>J18/$N$14</f>
        <v>15.224474545454546</v>
      </c>
    </row>
    <row r="19" spans="1:14" ht="13.5" thickBot="1">
      <c r="A19" s="353"/>
      <c r="B19" s="347">
        <v>5</v>
      </c>
      <c r="C19" s="200">
        <v>17361</v>
      </c>
      <c r="D19" s="349">
        <v>3147</v>
      </c>
      <c r="E19" s="349">
        <f>C19+D19</f>
        <v>20508</v>
      </c>
      <c r="F19" s="349">
        <f>ROUND(E19*$G$5,0)</f>
        <v>3281</v>
      </c>
      <c r="G19" s="350">
        <f>IF(E19&gt;$L$5,$N$5*(E19-$L$5)+$N$4*($L$5-$L$4)+$N$3*($L$4-$L$1),IF($L$5&gt;E19&gt;$L$4,$N$4*(E19-$L$4)+$N$3*($L$4-$L$1),0))</f>
        <v>1638.8880000000001</v>
      </c>
      <c r="H19" s="350">
        <f>E19/100*0.5</f>
        <v>102.54</v>
      </c>
      <c r="I19" s="349">
        <f>SUM(F19:H19)</f>
        <v>5022.428</v>
      </c>
      <c r="J19" s="349">
        <f>I19+E19</f>
        <v>25530.428</v>
      </c>
      <c r="K19" s="350">
        <f>J19/$K$14</f>
        <v>2127.5356666666667</v>
      </c>
      <c r="L19" s="350">
        <f>J19/$L$14</f>
        <v>116.0474</v>
      </c>
      <c r="M19" s="350">
        <f>J19/$M$14</f>
        <v>580.237</v>
      </c>
      <c r="N19" s="351">
        <f>J19/$N$14</f>
        <v>15.472986666666667</v>
      </c>
    </row>
    <row r="20" spans="1:14">
      <c r="A20" s="346">
        <v>2</v>
      </c>
      <c r="B20" s="347">
        <v>6</v>
      </c>
      <c r="C20" s="200">
        <v>17682</v>
      </c>
      <c r="D20" s="349">
        <v>3147</v>
      </c>
      <c r="E20" s="349">
        <f>C20+D20</f>
        <v>20829</v>
      </c>
      <c r="F20" s="349">
        <f>ROUND(E20*$G$5,0)</f>
        <v>3333</v>
      </c>
      <c r="G20" s="350">
        <f>IF(E20&gt;$L$5,$N$5*(E20-$L$5)+$N$4*($L$5-$L$4)+$N$3*($L$4-$L$1),IF($L$5&gt;E20&gt;$L$4,$N$4*(E20-$L$4)+$N$3*($L$4-$L$1),0))</f>
        <v>1683.1860000000001</v>
      </c>
      <c r="H20" s="350">
        <f>E20/100*0.5</f>
        <v>104.145</v>
      </c>
      <c r="I20" s="349">
        <f>SUM(F20:H20)</f>
        <v>5120.331</v>
      </c>
      <c r="J20" s="349">
        <f>I20+E20</f>
        <v>25949.331</v>
      </c>
      <c r="K20" s="350">
        <f>J20/$K$14</f>
        <v>2162.44425</v>
      </c>
      <c r="L20" s="350">
        <f>J20/$L$14</f>
        <v>117.95150454545454</v>
      </c>
      <c r="M20" s="350">
        <f>J20/$M$14</f>
        <v>589.75752272727266</v>
      </c>
      <c r="N20" s="351">
        <f>J20/$N$14</f>
        <v>15.726867272727272</v>
      </c>
    </row>
    <row r="21" spans="1:14">
      <c r="A21" s="352"/>
      <c r="B21" s="347">
        <v>7</v>
      </c>
      <c r="C21" s="200">
        <v>18009</v>
      </c>
      <c r="D21" s="349">
        <v>3147</v>
      </c>
      <c r="E21" s="349">
        <f>C21+D21</f>
        <v>21156</v>
      </c>
      <c r="F21" s="349">
        <f>ROUND(E21*$G$5,0)</f>
        <v>3385</v>
      </c>
      <c r="G21" s="350">
        <f>IF(E21&gt;$L$5,$N$5*(E21-$L$5)+$N$4*($L$5-$L$4)+$N$3*($L$4-$L$1),IF($L$5&gt;E21&gt;$L$4,$N$4*(E21-$L$4)+$N$3*($L$4-$L$1),0))</f>
        <v>1728.3120000000001</v>
      </c>
      <c r="H21" s="350">
        <f>E21/100*0.5</f>
        <v>105.78</v>
      </c>
      <c r="I21" s="349">
        <f>SUM(F21:H21)</f>
        <v>5219.092</v>
      </c>
      <c r="J21" s="349">
        <f>I21+E21</f>
        <v>26375.092</v>
      </c>
      <c r="K21" s="350">
        <f>J21/$K$14</f>
        <v>2197.9243333333334</v>
      </c>
      <c r="L21" s="350">
        <f>J21/$L$14</f>
        <v>119.88678181818182</v>
      </c>
      <c r="M21" s="350">
        <f>J21/$M$14</f>
        <v>599.43390909090908</v>
      </c>
      <c r="N21" s="351">
        <f>J21/$N$14</f>
        <v>15.984904242424243</v>
      </c>
    </row>
    <row r="22" spans="1:14">
      <c r="A22" s="352"/>
      <c r="B22" s="347">
        <v>8</v>
      </c>
      <c r="C22" s="200">
        <v>18342</v>
      </c>
      <c r="D22" s="349">
        <v>3147</v>
      </c>
      <c r="E22" s="349">
        <f>C22+D22</f>
        <v>21489</v>
      </c>
      <c r="F22" s="349">
        <f>ROUND(E22*$G$5,0)</f>
        <v>3438</v>
      </c>
      <c r="G22" s="350">
        <f>IF(E22&gt;$L$5,$N$5*(E22-$L$5)+$N$4*($L$5-$L$4)+$N$3*($L$4-$L$1),IF($L$5&gt;E22&gt;$L$4,$N$4*(E22-$L$4)+$N$3*($L$4-$L$1),0))</f>
        <v>1774.266</v>
      </c>
      <c r="H22" s="350">
        <f>E22/100*0.5</f>
        <v>107.445</v>
      </c>
      <c r="I22" s="349">
        <f>SUM(F22:H22)</f>
        <v>5319.7109999999993</v>
      </c>
      <c r="J22" s="349">
        <f>I22+E22</f>
        <v>26808.711</v>
      </c>
      <c r="K22" s="350">
        <f>J22/$K$14</f>
        <v>2234.05925</v>
      </c>
      <c r="L22" s="350">
        <f>J22/$L$14</f>
        <v>121.85777727272728</v>
      </c>
      <c r="M22" s="350">
        <f>J22/$M$14</f>
        <v>609.28888636363638</v>
      </c>
      <c r="N22" s="351">
        <f>J22/$N$14</f>
        <v>16.247703636363635</v>
      </c>
    </row>
    <row r="23" spans="1:14">
      <c r="A23" s="352"/>
      <c r="B23" s="347">
        <v>9</v>
      </c>
      <c r="C23" s="200">
        <v>18709</v>
      </c>
      <c r="D23" s="349">
        <v>3147</v>
      </c>
      <c r="E23" s="349">
        <f>C23+D23</f>
        <v>21856</v>
      </c>
      <c r="F23" s="349">
        <f>ROUND(E23*$G$5,0)</f>
        <v>3497</v>
      </c>
      <c r="G23" s="350">
        <f>IF(E23&gt;$L$5,$N$5*(E23-$L$5)+$N$4*($L$5-$L$4)+$N$3*($L$4-$L$1),IF($L$5&gt;E23&gt;$L$4,$N$4*(E23-$L$4)+$N$3*($L$4-$L$1),0))</f>
        <v>1824.9120000000003</v>
      </c>
      <c r="H23" s="350">
        <f>E23/100*0.5</f>
        <v>109.28</v>
      </c>
      <c r="I23" s="349">
        <f>SUM(F23:H23)</f>
        <v>5431.192</v>
      </c>
      <c r="J23" s="349">
        <f>I23+E23</f>
        <v>27287.192</v>
      </c>
      <c r="K23" s="350">
        <f>J23/$K$14</f>
        <v>2273.9326666666666</v>
      </c>
      <c r="L23" s="350">
        <f>J23/$L$14</f>
        <v>124.0326909090909</v>
      </c>
      <c r="M23" s="350">
        <f>J23/$M$14</f>
        <v>620.16345454545456</v>
      </c>
      <c r="N23" s="351">
        <f>J23/$N$14</f>
        <v>16.537692121212121</v>
      </c>
    </row>
    <row r="24" spans="1:14" ht="13.5" thickBot="1">
      <c r="A24" s="353"/>
      <c r="B24" s="347">
        <v>10</v>
      </c>
      <c r="C24" s="200">
        <v>19133</v>
      </c>
      <c r="D24" s="349">
        <v>3147</v>
      </c>
      <c r="E24" s="349">
        <f>C24+D24</f>
        <v>22280</v>
      </c>
      <c r="F24" s="349">
        <f>ROUND(E24*$G$5,0)</f>
        <v>3565</v>
      </c>
      <c r="G24" s="350">
        <f>IF(E24&gt;$L$5,$N$5*(E24-$L$5)+$N$4*($L$5-$L$4)+$N$3*($L$4-$L$1),IF($L$5&gt;E24&gt;$L$4,$N$4*(E24-$L$4)+$N$3*($L$4-$L$1),0))</f>
        <v>1883.4240000000002</v>
      </c>
      <c r="H24" s="350">
        <f>E24/100*0.5</f>
        <v>111.4</v>
      </c>
      <c r="I24" s="349">
        <f>SUM(F24:H24)</f>
        <v>5559.824</v>
      </c>
      <c r="J24" s="349">
        <f>I24+E24</f>
        <v>27839.824</v>
      </c>
      <c r="K24" s="350">
        <f>J24/$K$14</f>
        <v>2319.9853333333335</v>
      </c>
      <c r="L24" s="350">
        <f>J24/$L$14</f>
        <v>126.54465454545455</v>
      </c>
      <c r="M24" s="350">
        <f>J24/$M$14</f>
        <v>632.72327272727273</v>
      </c>
      <c r="N24" s="351">
        <f>J24/$N$14</f>
        <v>16.872620606060607</v>
      </c>
    </row>
    <row r="25" spans="1:14">
      <c r="A25" s="346">
        <v>3</v>
      </c>
      <c r="B25" s="347">
        <v>11</v>
      </c>
      <c r="C25" s="200">
        <v>19612</v>
      </c>
      <c r="D25" s="349">
        <v>3147</v>
      </c>
      <c r="E25" s="349">
        <f>C25+D25</f>
        <v>22759</v>
      </c>
      <c r="F25" s="349">
        <f>ROUND(E25*$G$5,0)</f>
        <v>3641</v>
      </c>
      <c r="G25" s="350">
        <f>IF(E25&gt;$L$5,$N$5*(E25-$L$5)+$N$4*($L$5-$L$4)+$N$3*($L$4-$L$1),IF($L$5&gt;E25&gt;$L$4,$N$4*(E25-$L$4)+$N$3*($L$4-$L$1),0))</f>
        <v>1949.526</v>
      </c>
      <c r="H25" s="350">
        <f>E25/100*0.5</f>
        <v>113.795</v>
      </c>
      <c r="I25" s="349">
        <f>SUM(F25:H25)</f>
        <v>5704.321</v>
      </c>
      <c r="J25" s="349">
        <f>I25+E25</f>
        <v>28463.321</v>
      </c>
      <c r="K25" s="350">
        <f>J25/$K$14</f>
        <v>2371.9434166666665</v>
      </c>
      <c r="L25" s="350">
        <f>J25/$L$14</f>
        <v>129.37873181818182</v>
      </c>
      <c r="M25" s="350">
        <f>J25/$M$14</f>
        <v>646.89365909090907</v>
      </c>
      <c r="N25" s="351">
        <f>J25/$N$14</f>
        <v>17.250497575757574</v>
      </c>
    </row>
    <row r="26" spans="1:14">
      <c r="A26" s="352"/>
      <c r="B26" s="347">
        <v>12</v>
      </c>
      <c r="C26" s="200">
        <v>20130</v>
      </c>
      <c r="D26" s="349">
        <v>3147</v>
      </c>
      <c r="E26" s="349">
        <f>C26+D26</f>
        <v>23277</v>
      </c>
      <c r="F26" s="349">
        <f>ROUND(E26*$G$5,0)</f>
        <v>3724</v>
      </c>
      <c r="G26" s="350">
        <f>IF(E26&gt;$L$5,$N$5*(E26-$L$5)+$N$4*($L$5-$L$4)+$N$3*($L$4-$L$1),IF($L$5&gt;E26&gt;$L$4,$N$4*(E26-$L$4)+$N$3*($L$4-$L$1),0))</f>
        <v>2021.0100000000002</v>
      </c>
      <c r="H26" s="350">
        <f>E26/100*0.5</f>
        <v>116.385</v>
      </c>
      <c r="I26" s="349">
        <f>SUM(F26:H26)</f>
        <v>5861.395</v>
      </c>
      <c r="J26" s="349">
        <f>I26+E26</f>
        <v>29138.395</v>
      </c>
      <c r="K26" s="350">
        <f>J26/$K$14</f>
        <v>2428.1995833333335</v>
      </c>
      <c r="L26" s="350">
        <f>J26/$L$14</f>
        <v>132.44725</v>
      </c>
      <c r="M26" s="350">
        <f>J26/$M$14</f>
        <v>662.23625</v>
      </c>
      <c r="N26" s="351">
        <f>J26/$N$14</f>
        <v>17.659633333333332</v>
      </c>
    </row>
    <row r="27" spans="1:14">
      <c r="A27" s="352"/>
      <c r="B27" s="347">
        <v>13</v>
      </c>
      <c r="C27" s="200">
        <v>20675</v>
      </c>
      <c r="D27" s="349">
        <v>3147</v>
      </c>
      <c r="E27" s="349">
        <f>C27+D27</f>
        <v>23822</v>
      </c>
      <c r="F27" s="349">
        <f>ROUND(E27*$G$5,0)</f>
        <v>3812</v>
      </c>
      <c r="G27" s="350">
        <f>IF(E27&gt;$L$5,$N$5*(E27-$L$5)+$N$4*($L$5-$L$4)+$N$3*($L$4-$L$1),IF($L$5&gt;E27&gt;$L$4,$N$4*(E27-$L$4)+$N$3*($L$4-$L$1),0))</f>
        <v>2096.2200000000003</v>
      </c>
      <c r="H27" s="350">
        <f>E27/100*0.5</f>
        <v>119.11</v>
      </c>
      <c r="I27" s="349">
        <f>SUM(F27:H27)</f>
        <v>6027.33</v>
      </c>
      <c r="J27" s="349">
        <f>I27+E27</f>
        <v>29849.33</v>
      </c>
      <c r="K27" s="350">
        <f>J27/$K$14</f>
        <v>2487.4441666666667</v>
      </c>
      <c r="L27" s="350">
        <f>J27/$L$14</f>
        <v>135.67877272727273</v>
      </c>
      <c r="M27" s="350">
        <f>J27/$M$14</f>
        <v>678.39386363636368</v>
      </c>
      <c r="N27" s="351">
        <f>J27/$N$14</f>
        <v>18.090503030303033</v>
      </c>
    </row>
    <row r="28" spans="1:14">
      <c r="A28" s="352"/>
      <c r="B28" s="347">
        <v>14</v>
      </c>
      <c r="C28" s="200">
        <v>21236</v>
      </c>
      <c r="D28" s="349">
        <v>3147</v>
      </c>
      <c r="E28" s="349">
        <f>C28+D28</f>
        <v>24383</v>
      </c>
      <c r="F28" s="349">
        <f>ROUND(E28*$G$5,0)</f>
        <v>3901</v>
      </c>
      <c r="G28" s="350">
        <f>IF(E28&gt;$L$5,$N$5*(E28-$L$5)+$N$4*($L$5-$L$4)+$N$3*($L$4-$L$1),IF($L$5&gt;E28&gt;$L$4,$N$4*(E28-$L$4)+$N$3*($L$4-$L$1),0))</f>
        <v>2173.6380000000004</v>
      </c>
      <c r="H28" s="350">
        <f>E28/100*0.5</f>
        <v>121.915</v>
      </c>
      <c r="I28" s="349">
        <f>SUM(F28:H28)</f>
        <v>6196.5530000000008</v>
      </c>
      <c r="J28" s="349">
        <f>I28+E28</f>
        <v>30579.553</v>
      </c>
      <c r="K28" s="350">
        <f>J28/$K$14</f>
        <v>2548.2960833333332</v>
      </c>
      <c r="L28" s="350">
        <f>J28/$L$14</f>
        <v>138.99796818181818</v>
      </c>
      <c r="M28" s="350">
        <f>J28/$M$14</f>
        <v>694.989840909091</v>
      </c>
      <c r="N28" s="351">
        <f>J28/$N$14</f>
        <v>18.533062424242424</v>
      </c>
    </row>
    <row r="29" spans="1:14" ht="13.5" thickBot="1">
      <c r="A29" s="353"/>
      <c r="B29" s="347">
        <v>15</v>
      </c>
      <c r="C29" s="200">
        <v>21814</v>
      </c>
      <c r="D29" s="349">
        <v>3147</v>
      </c>
      <c r="E29" s="349">
        <f>C29+D29</f>
        <v>24961</v>
      </c>
      <c r="F29" s="349">
        <f>ROUND(E29*$G$5,0)</f>
        <v>3994</v>
      </c>
      <c r="G29" s="350">
        <f>IF(E29&gt;$L$5,$N$5*(E29-$L$5)+$N$4*($L$5-$L$4)+$N$3*($L$4-$L$1),IF($L$5&gt;E29&gt;$L$4,$N$4*(E29-$L$4)+$N$3*($L$4-$L$1),0))</f>
        <v>2253.402</v>
      </c>
      <c r="H29" s="350">
        <f>E29/100*0.5</f>
        <v>124.805</v>
      </c>
      <c r="I29" s="349">
        <f>SUM(F29:H29)</f>
        <v>6372.207</v>
      </c>
      <c r="J29" s="349">
        <f>I29+E29</f>
        <v>31333.207000000002</v>
      </c>
      <c r="K29" s="350">
        <f>J29/$K$14</f>
        <v>2611.1005833333334</v>
      </c>
      <c r="L29" s="350">
        <f>J29/$L$14</f>
        <v>142.42366818181819</v>
      </c>
      <c r="M29" s="350">
        <f>J29/$M$14</f>
        <v>712.118340909091</v>
      </c>
      <c r="N29" s="351">
        <f>J29/$N$14</f>
        <v>18.989822424242426</v>
      </c>
    </row>
    <row r="30" spans="1:14">
      <c r="A30" s="346">
        <v>4</v>
      </c>
      <c r="B30" s="347">
        <v>16</v>
      </c>
      <c r="C30" s="200">
        <v>22417</v>
      </c>
      <c r="D30" s="349">
        <v>3147</v>
      </c>
      <c r="E30" s="349">
        <f>C30+D30</f>
        <v>25564</v>
      </c>
      <c r="F30" s="349">
        <f>ROUND(E30*$G$5,0)</f>
        <v>4090</v>
      </c>
      <c r="G30" s="350">
        <f>IF(E30&gt;$L$5,$N$5*(E30-$L$5)+$N$4*($L$5-$L$4)+$N$3*($L$4-$L$1),IF($L$5&gt;E30&gt;$L$4,$N$4*(E30-$L$4)+$N$3*($L$4-$L$1),0))</f>
        <v>2336.616</v>
      </c>
      <c r="H30" s="350">
        <f>E30/100*0.5</f>
        <v>127.82</v>
      </c>
      <c r="I30" s="349">
        <f>SUM(F30:H30)</f>
        <v>6554.436</v>
      </c>
      <c r="J30" s="349">
        <f>I30+E30</f>
        <v>32118.436</v>
      </c>
      <c r="K30" s="350">
        <f>J30/$K$14</f>
        <v>2676.5363333333335</v>
      </c>
      <c r="L30" s="350">
        <f>J30/$L$14</f>
        <v>145.9928909090909</v>
      </c>
      <c r="M30" s="350">
        <f>J30/$M$14</f>
        <v>729.9644545454546</v>
      </c>
      <c r="N30" s="351">
        <f>J30/$N$14</f>
        <v>19.465718787878789</v>
      </c>
    </row>
    <row r="31" spans="1:14">
      <c r="A31" s="352"/>
      <c r="B31" s="347">
        <v>17</v>
      </c>
      <c r="C31" s="200">
        <v>23067</v>
      </c>
      <c r="D31" s="349">
        <v>3147</v>
      </c>
      <c r="E31" s="349">
        <f>C31+D31</f>
        <v>26214</v>
      </c>
      <c r="F31" s="349">
        <f>ROUND(E31*$G$5,0)</f>
        <v>4194</v>
      </c>
      <c r="G31" s="350">
        <f>IF(E31&gt;$L$5,$N$5*(E31-$L$5)+$N$4*($L$5-$L$4)+$N$3*($L$4-$L$1),IF($L$5&gt;E31&gt;$L$4,$N$4*(E31-$L$4)+$N$3*($L$4-$L$1),0))</f>
        <v>2426.3160000000003</v>
      </c>
      <c r="H31" s="350">
        <f>E31/100*0.5</f>
        <v>131.07</v>
      </c>
      <c r="I31" s="349">
        <f>SUM(F31:H31)</f>
        <v>6751.386</v>
      </c>
      <c r="J31" s="349">
        <f>I31+E31</f>
        <v>32965.386</v>
      </c>
      <c r="K31" s="350">
        <f>J31/$K$14</f>
        <v>2747.1155</v>
      </c>
      <c r="L31" s="350">
        <f>J31/$L$14</f>
        <v>149.84266363636362</v>
      </c>
      <c r="M31" s="350">
        <f>J31/$M$14</f>
        <v>749.21331818181818</v>
      </c>
      <c r="N31" s="351">
        <f>J31/$N$14</f>
        <v>19.979021818181817</v>
      </c>
    </row>
    <row r="32" spans="1:14">
      <c r="A32" s="352"/>
      <c r="B32" s="347">
        <v>18</v>
      </c>
      <c r="C32" s="200">
        <v>23754</v>
      </c>
      <c r="D32" s="349">
        <v>3147</v>
      </c>
      <c r="E32" s="349">
        <f>C32+D32</f>
        <v>26901</v>
      </c>
      <c r="F32" s="349">
        <f>ROUND(E32*$G$5,0)</f>
        <v>4304</v>
      </c>
      <c r="G32" s="350">
        <f>IF(E32&gt;$L$5,$N$5*(E32-$L$5)+$N$4*($L$5-$L$4)+$N$3*($L$4-$L$1),IF($L$5&gt;E32&gt;$L$4,$N$4*(E32-$L$4)+$N$3*($L$4-$L$1),0))</f>
        <v>2521.1220000000003</v>
      </c>
      <c r="H32" s="350">
        <f>E32/100*0.5</f>
        <v>134.505</v>
      </c>
      <c r="I32" s="349">
        <f>SUM(F32:H32)</f>
        <v>6959.627</v>
      </c>
      <c r="J32" s="349">
        <f>I32+E32</f>
        <v>33860.627</v>
      </c>
      <c r="K32" s="350">
        <f>J32/$K$14</f>
        <v>2821.7189166666667</v>
      </c>
      <c r="L32" s="350">
        <f>J32/$L$14</f>
        <v>153.9119409090909</v>
      </c>
      <c r="M32" s="350">
        <f>J32/$M$14</f>
        <v>769.55970454545457</v>
      </c>
      <c r="N32" s="351">
        <f>J32/$N$14</f>
        <v>20.521592121212123</v>
      </c>
    </row>
    <row r="33" spans="1:14">
      <c r="A33" s="352"/>
      <c r="B33" s="347">
        <v>19</v>
      </c>
      <c r="C33" s="200">
        <v>24461</v>
      </c>
      <c r="D33" s="349">
        <v>3147</v>
      </c>
      <c r="E33" s="349">
        <f>C33+D33</f>
        <v>27608</v>
      </c>
      <c r="F33" s="349">
        <f>ROUND(E33*$G$5,0)</f>
        <v>4417</v>
      </c>
      <c r="G33" s="350">
        <f>IF(E33&gt;$L$5,$N$5*(E33-$L$5)+$N$4*($L$5-$L$4)+$N$3*($L$4-$L$1),IF($L$5&gt;E33&gt;$L$4,$N$4*(E33-$L$4)+$N$3*($L$4-$L$1),0))</f>
        <v>2618.688</v>
      </c>
      <c r="H33" s="350">
        <f>E33/100*0.5</f>
        <v>138.04</v>
      </c>
      <c r="I33" s="349">
        <f>SUM(F33:H33)</f>
        <v>7173.728</v>
      </c>
      <c r="J33" s="349">
        <f>I33+E33</f>
        <v>34781.728</v>
      </c>
      <c r="K33" s="350">
        <f>J33/$K$14</f>
        <v>2898.4773333333337</v>
      </c>
      <c r="L33" s="350">
        <f>J33/$L$14</f>
        <v>158.09876363636366</v>
      </c>
      <c r="M33" s="350">
        <f>J33/$M$14</f>
        <v>790.49381818181826</v>
      </c>
      <c r="N33" s="351">
        <f>J33/$N$14</f>
        <v>21.079835151515152</v>
      </c>
    </row>
    <row r="34" spans="1:14">
      <c r="A34" s="352"/>
      <c r="B34" s="347">
        <v>20</v>
      </c>
      <c r="C34" s="200">
        <v>25217</v>
      </c>
      <c r="D34" s="349">
        <v>3147</v>
      </c>
      <c r="E34" s="349">
        <f>C34+D34</f>
        <v>28364</v>
      </c>
      <c r="F34" s="349">
        <f>ROUND(E34*$G$5,0)</f>
        <v>4538</v>
      </c>
      <c r="G34" s="350">
        <f>IF(E34&gt;$L$5,$N$5*(E34-$L$5)+$N$4*($L$5-$L$4)+$N$3*($L$4-$L$1),IF($L$5&gt;E34&gt;$L$4,$N$4*(E34-$L$4)+$N$3*($L$4-$L$1),0))</f>
        <v>2723.016</v>
      </c>
      <c r="H34" s="350">
        <f>E34/100*0.5</f>
        <v>141.82</v>
      </c>
      <c r="I34" s="349">
        <f>SUM(F34:H34)</f>
        <v>7402.8359999999993</v>
      </c>
      <c r="J34" s="349">
        <f>I34+E34</f>
        <v>35766.835999999996</v>
      </c>
      <c r="K34" s="350">
        <f>J34/$K$14</f>
        <v>2980.5696666666663</v>
      </c>
      <c r="L34" s="350">
        <f>J34/$L$14</f>
        <v>162.57652727272725</v>
      </c>
      <c r="M34" s="350">
        <f>J34/$M$14</f>
        <v>812.88263636363627</v>
      </c>
      <c r="N34" s="351">
        <f>J34/$N$14</f>
        <v>21.6768703030303</v>
      </c>
    </row>
    <row r="35" spans="1:14" ht="13.5" thickBot="1">
      <c r="A35" s="353"/>
      <c r="B35" s="347">
        <v>21</v>
      </c>
      <c r="C35" s="200">
        <v>25941</v>
      </c>
      <c r="D35" s="349">
        <v>3147</v>
      </c>
      <c r="E35" s="349">
        <f>C35+D35</f>
        <v>29088</v>
      </c>
      <c r="F35" s="349">
        <f>ROUND(E35*$G$5,0)</f>
        <v>4654</v>
      </c>
      <c r="G35" s="350">
        <f>IF(E35&gt;$L$5,$N$5*(E35-$L$5)+$N$4*($L$5-$L$4)+$N$3*($L$4-$L$1),IF($L$5&gt;E35&gt;$L$4,$N$4*(E35-$L$4)+$N$3*($L$4-$L$1),0))</f>
        <v>2822.9280000000003</v>
      </c>
      <c r="H35" s="350">
        <f>E35/100*0.5</f>
        <v>145.44</v>
      </c>
      <c r="I35" s="349">
        <f>SUM(F35:H35)</f>
        <v>7622.3679999999995</v>
      </c>
      <c r="J35" s="349">
        <f>I35+E35</f>
        <v>36710.368</v>
      </c>
      <c r="K35" s="350">
        <f>J35/$K$14</f>
        <v>3059.1973333333335</v>
      </c>
      <c r="L35" s="350">
        <f>J35/$L$14</f>
        <v>166.86530909090911</v>
      </c>
      <c r="M35" s="350">
        <f>J35/$M$14</f>
        <v>834.32654545454545</v>
      </c>
      <c r="N35" s="351">
        <f>J35/$N$14</f>
        <v>22.248707878787879</v>
      </c>
    </row>
    <row r="36" spans="1:14">
      <c r="A36" s="346">
        <v>5</v>
      </c>
      <c r="B36" s="347">
        <v>22</v>
      </c>
      <c r="C36" s="200">
        <v>26715</v>
      </c>
      <c r="D36" s="349">
        <v>3147</v>
      </c>
      <c r="E36" s="349">
        <f>C36+D36</f>
        <v>29862</v>
      </c>
      <c r="F36" s="349">
        <f>ROUND(E36*$G$2,0)</f>
        <v>6301</v>
      </c>
      <c r="G36" s="350">
        <f>IF(E36&gt;$L$5,$N$5*(E36-$L$5)+$N$4*($L$5-$L$4)+$N$3*($L$4-$L$1),IF($L$5&gt;E36&gt;$L$4,$N$4*(E36-$L$4)+$N$3*($L$4-$L$1),0))</f>
        <v>2929.7400000000002</v>
      </c>
      <c r="H36" s="350">
        <f>E36/100*0.5</f>
        <v>149.31</v>
      </c>
      <c r="I36" s="349">
        <f>SUM(F36:H36)</f>
        <v>9380.05</v>
      </c>
      <c r="J36" s="349">
        <f>I36+E36</f>
        <v>39242.05</v>
      </c>
      <c r="K36" s="350">
        <f>J36/$K$14</f>
        <v>3270.1708333333336</v>
      </c>
      <c r="L36" s="350">
        <f>J36/$L$14</f>
        <v>178.37295454545455</v>
      </c>
      <c r="M36" s="350">
        <f>J36/$M$14</f>
        <v>891.86477272727279</v>
      </c>
      <c r="N36" s="351">
        <f>J36/$N$14</f>
        <v>23.783060606060609</v>
      </c>
    </row>
    <row r="37" spans="1:14">
      <c r="A37" s="352"/>
      <c r="B37" s="347">
        <v>23</v>
      </c>
      <c r="C37" s="200">
        <v>27511</v>
      </c>
      <c r="D37" s="349">
        <v>3147</v>
      </c>
      <c r="E37" s="349">
        <f>C37+D37</f>
        <v>30658</v>
      </c>
      <c r="F37" s="349">
        <f>ROUND(E37*$G$2,0)</f>
        <v>6469</v>
      </c>
      <c r="G37" s="350">
        <f>IF(E37&gt;$L$5,$N$5*(E37-$L$5)+$N$4*($L$5-$L$4)+$N$3*($L$4-$L$1),IF($L$5&gt;E37&gt;$L$4,$N$4*(E37-$L$4)+$N$3*($L$4-$L$1),0))</f>
        <v>3039.588</v>
      </c>
      <c r="H37" s="350">
        <f>E37/100*0.5</f>
        <v>153.29</v>
      </c>
      <c r="I37" s="349">
        <f>SUM(F37:H37)</f>
        <v>9661.878</v>
      </c>
      <c r="J37" s="349">
        <f>I37+E37</f>
        <v>40319.878</v>
      </c>
      <c r="K37" s="350">
        <f>J37/$K$14</f>
        <v>3359.9898333333331</v>
      </c>
      <c r="L37" s="350">
        <f>J37/$L$14</f>
        <v>183.2721727272727</v>
      </c>
      <c r="M37" s="350">
        <f>J37/$M$14</f>
        <v>916.36086363636355</v>
      </c>
      <c r="N37" s="351">
        <f>J37/$N$14</f>
        <v>24.436289696969695</v>
      </c>
    </row>
    <row r="38" spans="1:14">
      <c r="A38" s="352"/>
      <c r="B38" s="347">
        <v>24</v>
      </c>
      <c r="C38" s="200">
        <v>28331</v>
      </c>
      <c r="D38" s="349">
        <v>3147</v>
      </c>
      <c r="E38" s="349">
        <f>C38+D38</f>
        <v>31478</v>
      </c>
      <c r="F38" s="349">
        <f>ROUND(E38*$G$2,0)</f>
        <v>6642</v>
      </c>
      <c r="G38" s="350">
        <f>IF(E38&gt;$L$5,$N$5*(E38-$L$5)+$N$4*($L$5-$L$4)+$N$3*($L$4-$L$1),IF($L$5&gt;E38&gt;$L$4,$N$4*(E38-$L$4)+$N$3*($L$4-$L$1),0))</f>
        <v>3152.748</v>
      </c>
      <c r="H38" s="350">
        <f>E38/100*0.5</f>
        <v>157.39</v>
      </c>
      <c r="I38" s="349">
        <f>SUM(F38:H38)</f>
        <v>9952.137999999999</v>
      </c>
      <c r="J38" s="349">
        <f>I38+E38</f>
        <v>41430.138</v>
      </c>
      <c r="K38" s="350">
        <f>J38/$K$14</f>
        <v>3452.5115</v>
      </c>
      <c r="L38" s="350">
        <f>J38/$L$14</f>
        <v>188.3188090909091</v>
      </c>
      <c r="M38" s="350">
        <f>J38/$M$14</f>
        <v>941.59404545454538</v>
      </c>
      <c r="N38" s="351">
        <f>J38/$N$14</f>
        <v>25.109174545454543</v>
      </c>
    </row>
    <row r="39" spans="1:14">
      <c r="A39" s="352"/>
      <c r="B39" s="347">
        <v>25</v>
      </c>
      <c r="C39" s="200">
        <v>29176</v>
      </c>
      <c r="D39" s="349">
        <v>3147</v>
      </c>
      <c r="E39" s="349">
        <f>C39+D39</f>
        <v>32323</v>
      </c>
      <c r="F39" s="349">
        <f>ROUND(E39*$G$2,0)</f>
        <v>6820</v>
      </c>
      <c r="G39" s="350">
        <f>IF(E39&gt;$L$5,$N$5*(E39-$L$5)+$N$4*($L$5-$L$4)+$N$3*($L$4-$L$1),IF($L$5&gt;E39&gt;$L$4,$N$4*(E39-$L$4)+$N$3*($L$4-$L$1),0))</f>
        <v>3269.358</v>
      </c>
      <c r="H39" s="350">
        <f>E39/100*0.5</f>
        <v>161.615</v>
      </c>
      <c r="I39" s="349">
        <f>SUM(F39:H39)</f>
        <v>10250.973</v>
      </c>
      <c r="J39" s="349">
        <f>I39+E39</f>
        <v>42573.973</v>
      </c>
      <c r="K39" s="350">
        <f>J39/$K$14</f>
        <v>3547.831083333333</v>
      </c>
      <c r="L39" s="350">
        <f>J39/$L$14</f>
        <v>193.51805909090908</v>
      </c>
      <c r="M39" s="350">
        <f>J39/$M$14</f>
        <v>967.59029545454541</v>
      </c>
      <c r="N39" s="351">
        <f>J39/$N$14</f>
        <v>25.802407878787879</v>
      </c>
    </row>
    <row r="40" spans="1:14">
      <c r="A40" s="352"/>
      <c r="B40" s="347">
        <v>26</v>
      </c>
      <c r="C40" s="200">
        <v>30046</v>
      </c>
      <c r="D40" s="349">
        <v>3147</v>
      </c>
      <c r="E40" s="349">
        <f>C40+D40</f>
        <v>33193</v>
      </c>
      <c r="F40" s="349">
        <f>ROUND(E40*$G$2,0)</f>
        <v>7004</v>
      </c>
      <c r="G40" s="350">
        <f>IF(E40&gt;$L$5,$N$5*(E40-$L$5)+$N$4*($L$5-$L$4)+$N$3*($L$4-$L$1),IF($L$5&gt;E40&gt;$L$4,$N$4*(E40-$L$4)+$N$3*($L$4-$L$1),0))</f>
        <v>3389.418</v>
      </c>
      <c r="H40" s="350">
        <f>E40/100*0.5</f>
        <v>165.965</v>
      </c>
      <c r="I40" s="349">
        <f>SUM(F40:H40)</f>
        <v>10559.383</v>
      </c>
      <c r="J40" s="349">
        <f>I40+E40</f>
        <v>43752.383</v>
      </c>
      <c r="K40" s="350">
        <f>J40/$K$14</f>
        <v>3646.0319166666668</v>
      </c>
      <c r="L40" s="350">
        <f>J40/$L$14</f>
        <v>198.8744681818182</v>
      </c>
      <c r="M40" s="350">
        <f>J40/$M$14</f>
        <v>994.37234090909089</v>
      </c>
      <c r="N40" s="351">
        <f>J40/$N$14</f>
        <v>26.516595757575757</v>
      </c>
    </row>
    <row r="41" spans="1:14">
      <c r="A41" s="352"/>
      <c r="B41" s="347">
        <v>27</v>
      </c>
      <c r="C41" s="200">
        <v>30942</v>
      </c>
      <c r="D41" s="349">
        <v>3147</v>
      </c>
      <c r="E41" s="349">
        <f>C41+D41</f>
        <v>34089</v>
      </c>
      <c r="F41" s="349">
        <f>ROUND(E41*$G$2,0)</f>
        <v>7193</v>
      </c>
      <c r="G41" s="350">
        <f>IF(E41&gt;$L$5,$N$5*(E41-$L$5)+$N$4*($L$5-$L$4)+$N$3*($L$4-$L$1),IF($L$5&gt;E41&gt;$L$4,$N$4*(E41-$L$4)+$N$3*($L$4-$L$1),0))</f>
        <v>3513.0660000000003</v>
      </c>
      <c r="H41" s="350">
        <f>E41/100*0.5</f>
        <v>170.445</v>
      </c>
      <c r="I41" s="349">
        <f>SUM(F41:H41)</f>
        <v>10876.511</v>
      </c>
      <c r="J41" s="349">
        <f>I41+E41</f>
        <v>44965.511</v>
      </c>
      <c r="K41" s="350">
        <f>J41/$K$14</f>
        <v>3747.1259166666664</v>
      </c>
      <c r="L41" s="350">
        <f>J41/$L$14</f>
        <v>204.38868636363637</v>
      </c>
      <c r="M41" s="350">
        <f>J41/$M$14</f>
        <v>1021.9434318181818</v>
      </c>
      <c r="N41" s="351">
        <f>J41/$N$14</f>
        <v>27.251824848484848</v>
      </c>
    </row>
    <row r="42" spans="1:14">
      <c r="A42" s="352"/>
      <c r="B42" s="347">
        <v>28</v>
      </c>
      <c r="C42" s="200">
        <v>31866</v>
      </c>
      <c r="D42" s="349">
        <v>3147</v>
      </c>
      <c r="E42" s="349">
        <f>C42+D42</f>
        <v>35013</v>
      </c>
      <c r="F42" s="349">
        <f>ROUND(E42*$G$2,0)</f>
        <v>7388</v>
      </c>
      <c r="G42" s="350">
        <f>IF(E42&gt;$L$5,$N$5*(E42-$L$5)+$N$4*($L$5-$L$4)+$N$3*($L$4-$L$1),IF($L$5&gt;E42&gt;$L$4,$N$4*(E42-$L$4)+$N$3*($L$4-$L$1),0))</f>
        <v>3640.5780000000004</v>
      </c>
      <c r="H42" s="350">
        <f>E42/100*0.5</f>
        <v>175.065</v>
      </c>
      <c r="I42" s="349">
        <f>SUM(F42:H42)</f>
        <v>11203.643000000002</v>
      </c>
      <c r="J42" s="349">
        <f>I42+E42</f>
        <v>46216.643000000004</v>
      </c>
      <c r="K42" s="350">
        <f>J42/$K$14</f>
        <v>3851.3869166666668</v>
      </c>
      <c r="L42" s="350">
        <f>J42/$L$14</f>
        <v>210.07565000000002</v>
      </c>
      <c r="M42" s="350">
        <f>J42/$M$14</f>
        <v>1050.37825</v>
      </c>
      <c r="N42" s="351">
        <f>J42/$N$14</f>
        <v>28.01008666666667</v>
      </c>
    </row>
    <row r="43" spans="1:14" ht="13.5" thickBot="1">
      <c r="A43" s="353"/>
      <c r="B43" s="347">
        <v>29</v>
      </c>
      <c r="C43" s="200">
        <v>32817</v>
      </c>
      <c r="D43" s="349">
        <v>3147</v>
      </c>
      <c r="E43" s="349">
        <f>C43+D43</f>
        <v>35964</v>
      </c>
      <c r="F43" s="349">
        <f>ROUND(E43*$G$2,0)</f>
        <v>7588</v>
      </c>
      <c r="G43" s="350">
        <f>IF(E43&gt;$L$5,$N$5*(E43-$L$5)+$N$4*($L$5-$L$4)+$N$3*($L$4-$L$1),IF($L$5&gt;E43&gt;$L$4,$N$4*(E43-$L$4)+$N$3*($L$4-$L$1),0))</f>
        <v>3771.8160000000003</v>
      </c>
      <c r="H43" s="350">
        <f>E43/100*0.5</f>
        <v>179.82</v>
      </c>
      <c r="I43" s="349">
        <f>SUM(F43:H43)</f>
        <v>11539.636</v>
      </c>
      <c r="J43" s="349">
        <f>I43+E43</f>
        <v>47503.636</v>
      </c>
      <c r="K43" s="350">
        <f>J43/$K$14</f>
        <v>3958.6363333333334</v>
      </c>
      <c r="L43" s="350">
        <f>J43/$L$14</f>
        <v>215.92561818181818</v>
      </c>
      <c r="M43" s="350">
        <f>J43/$M$14</f>
        <v>1079.6280909090908</v>
      </c>
      <c r="N43" s="351">
        <f>J43/$N$14</f>
        <v>28.790082424242424</v>
      </c>
    </row>
    <row r="44" spans="1:14">
      <c r="A44" s="346">
        <v>6</v>
      </c>
      <c r="B44" s="347">
        <v>30</v>
      </c>
      <c r="C44" s="200">
        <v>33797</v>
      </c>
      <c r="D44" s="349">
        <v>3147</v>
      </c>
      <c r="E44" s="349">
        <f>C44+D44</f>
        <v>36944</v>
      </c>
      <c r="F44" s="349">
        <f>ROUND(E44*$G$2,0)</f>
        <v>7795</v>
      </c>
      <c r="G44" s="350">
        <f>IF(E44&gt;$L$5,$N$5*(E44-$L$5)+$N$4*($L$5-$L$4)+$N$3*($L$4-$L$1),IF($L$5&gt;E44&gt;$L$4,$N$4*(E44-$L$4)+$N$3*($L$4-$L$1),0))</f>
        <v>3907.0560000000005</v>
      </c>
      <c r="H44" s="350">
        <f>E44/100*0.5</f>
        <v>184.72</v>
      </c>
      <c r="I44" s="349">
        <f>SUM(F44:H44)</f>
        <v>11886.776</v>
      </c>
      <c r="J44" s="349">
        <f>I44+E44</f>
        <v>48830.776</v>
      </c>
      <c r="K44" s="350">
        <f>J44/$K$14</f>
        <v>4069.2313333333332</v>
      </c>
      <c r="L44" s="350">
        <f>J44/$L$14</f>
        <v>221.95807272727271</v>
      </c>
      <c r="M44" s="350">
        <f>J44/$M$14</f>
        <v>1109.7903636363635</v>
      </c>
      <c r="N44" s="351">
        <f>J44/$N$14</f>
        <v>29.594409696969695</v>
      </c>
    </row>
    <row r="45" spans="1:14">
      <c r="A45" s="352"/>
      <c r="B45" s="347">
        <v>31</v>
      </c>
      <c r="C45" s="200">
        <v>34804</v>
      </c>
      <c r="D45" s="349">
        <v>3147</v>
      </c>
      <c r="E45" s="349">
        <f>C45+D45</f>
        <v>37951</v>
      </c>
      <c r="F45" s="349">
        <f>ROUND(E45*$G$2,0)</f>
        <v>8008</v>
      </c>
      <c r="G45" s="350">
        <f>IF(E45&gt;$L$5,$N$5*(E45-$L$5)+$N$4*($L$5-$L$4)+$N$3*($L$4-$L$1),IF($L$5&gt;E45&gt;$L$4,$N$4*(E45-$L$4)+$N$3*($L$4-$L$1),0))</f>
        <v>4046.0220000000004</v>
      </c>
      <c r="H45" s="350">
        <f>E45/100*0.5</f>
        <v>189.755</v>
      </c>
      <c r="I45" s="349">
        <f>SUM(F45:H45)</f>
        <v>12243.777</v>
      </c>
      <c r="J45" s="349">
        <f>I45+E45</f>
        <v>50194.777</v>
      </c>
      <c r="K45" s="350">
        <f>J45/$K$14</f>
        <v>4182.8980833333335</v>
      </c>
      <c r="L45" s="350">
        <f>J45/$L$14</f>
        <v>228.15807727272727</v>
      </c>
      <c r="M45" s="350">
        <f>J45/$M$14</f>
        <v>1140.7903863636363</v>
      </c>
      <c r="N45" s="351">
        <f>J45/$N$14</f>
        <v>30.421076969696969</v>
      </c>
    </row>
    <row r="46" spans="1:14">
      <c r="A46" s="352"/>
      <c r="B46" s="347">
        <v>32</v>
      </c>
      <c r="C46" s="200">
        <v>35845</v>
      </c>
      <c r="D46" s="349">
        <v>3147</v>
      </c>
      <c r="E46" s="349">
        <f>C46+D46</f>
        <v>38992</v>
      </c>
      <c r="F46" s="349">
        <f>ROUND(E46*$G$2,0)</f>
        <v>8227</v>
      </c>
      <c r="G46" s="350">
        <f>IF(E46&gt;$L$5,$N$5*(E46-$L$5)+$N$4*($L$5-$L$4)+$N$3*($L$4-$L$1),IF($L$5&gt;E46&gt;$L$4,$N$4*(E46-$L$4)+$N$3*($L$4-$L$1),0))</f>
        <v>4189.68</v>
      </c>
      <c r="H46" s="350">
        <f>E46/100*0.5</f>
        <v>194.96</v>
      </c>
      <c r="I46" s="349">
        <f>SUM(F46:H46)</f>
        <v>12611.64</v>
      </c>
      <c r="J46" s="349">
        <f>I46+E46</f>
        <v>51603.64</v>
      </c>
      <c r="K46" s="350">
        <f>J46/$K$14</f>
        <v>4300.3033333333333</v>
      </c>
      <c r="L46" s="350">
        <f>J46/$L$14</f>
        <v>234.56199999999998</v>
      </c>
      <c r="M46" s="350">
        <f>J46/$M$14</f>
        <v>1172.81</v>
      </c>
      <c r="N46" s="351">
        <f>J46/$N$14</f>
        <v>31.274933333333333</v>
      </c>
    </row>
    <row r="47" spans="1:14">
      <c r="A47" s="352"/>
      <c r="B47" s="347">
        <v>33</v>
      </c>
      <c r="C47" s="200">
        <v>36913.698000000004</v>
      </c>
      <c r="D47" s="349">
        <v>3147</v>
      </c>
      <c r="E47" s="349">
        <f>C47+D47</f>
        <v>40060.698000000004</v>
      </c>
      <c r="F47" s="349">
        <f>ROUND(E47*$G$2,0)</f>
        <v>8453</v>
      </c>
      <c r="G47" s="350">
        <f>IF(E47&gt;$L$5,$N$5*(E47-$L$5)+$N$4*($L$5-$L$4)+$N$3*($L$4-$L$1),IF($L$5&gt;E47&gt;$L$4,$N$4*(E47-$L$4)+$N$3*($L$4-$L$1),0))</f>
        <v>4337.1603240000013</v>
      </c>
      <c r="H47" s="350">
        <f>E47/100*0.5</f>
        <v>200.30349</v>
      </c>
      <c r="I47" s="349">
        <f>SUM(F47:H47)</f>
        <v>12990.463814</v>
      </c>
      <c r="J47" s="349">
        <f>I47+E47</f>
        <v>53051.161814000006</v>
      </c>
      <c r="K47" s="350">
        <f>J47/$K$14</f>
        <v>4420.9301511666672</v>
      </c>
      <c r="L47" s="350">
        <f>J47/$L$14</f>
        <v>241.14164460909095</v>
      </c>
      <c r="M47" s="350">
        <f>J47/$M$14</f>
        <v>1205.7082230454546</v>
      </c>
      <c r="N47" s="351">
        <f>J47/$N$14</f>
        <v>32.152219281212126</v>
      </c>
    </row>
    <row r="48" spans="1:14">
      <c r="A48" s="352"/>
      <c r="B48" s="347">
        <v>34</v>
      </c>
      <c r="C48" s="200">
        <v>38017.21</v>
      </c>
      <c r="D48" s="349">
        <v>3147</v>
      </c>
      <c r="E48" s="349">
        <f>C48+D48</f>
        <v>41164.21</v>
      </c>
      <c r="F48" s="349">
        <f>ROUND(E48*$G$2,0)</f>
        <v>8686</v>
      </c>
      <c r="G48" s="350">
        <f>IF(E48&gt;$L$5,$N$5*(E48-$L$5)+$N$4*($L$5-$L$4)+$N$3*($L$4-$L$1),IF($L$5&gt;E48&gt;$L$4,$N$4*(E48-$L$4)+$N$3*($L$4-$L$1),0))</f>
        <v>4489.44498</v>
      </c>
      <c r="H48" s="350">
        <f>E48/100*0.5</f>
        <v>205.82104999999999</v>
      </c>
      <c r="I48" s="349">
        <f>SUM(F48:H48)</f>
        <v>13381.26603</v>
      </c>
      <c r="J48" s="349">
        <f>I48+E48</f>
        <v>54545.47603</v>
      </c>
      <c r="K48" s="350">
        <f>J48/$K$14</f>
        <v>4545.4563358333335</v>
      </c>
      <c r="L48" s="350">
        <f>J48/$L$14</f>
        <v>247.93398195454546</v>
      </c>
      <c r="M48" s="350">
        <f>J48/$M$14</f>
        <v>1239.6699097727271</v>
      </c>
      <c r="N48" s="351">
        <f>J48/$N$14</f>
        <v>33.05786426060606</v>
      </c>
    </row>
    <row r="49" spans="1:14">
      <c r="A49" s="352"/>
      <c r="B49" s="347">
        <v>35</v>
      </c>
      <c r="C49" s="200">
        <v>39152.28</v>
      </c>
      <c r="D49" s="349">
        <v>3147</v>
      </c>
      <c r="E49" s="349">
        <f>C49+D49</f>
        <v>42299.28</v>
      </c>
      <c r="F49" s="349">
        <f>ROUND(E49*$G$2,0)</f>
        <v>8925</v>
      </c>
      <c r="G49" s="350">
        <f>IF(E49&gt;$L$5,$N$5*(E49-$L$5)+$N$4*($L$5-$L$4)+$N$3*($L$4-$L$1),IF($L$5&gt;E49&gt;$L$4,$N$4*(E49-$L$4)+$N$3*($L$4-$L$1),0))</f>
        <v>4646.08464</v>
      </c>
      <c r="H49" s="350">
        <f>E49/100*0.5</f>
        <v>211.4964</v>
      </c>
      <c r="I49" s="349">
        <f>SUM(F49:H49)</f>
        <v>13782.581040000001</v>
      </c>
      <c r="J49" s="349">
        <f>I49+E49</f>
        <v>56081.86104</v>
      </c>
      <c r="K49" s="350">
        <f>J49/$K$14</f>
        <v>4673.4884200000006</v>
      </c>
      <c r="L49" s="350">
        <f>J49/$L$14</f>
        <v>254.9175501818182</v>
      </c>
      <c r="M49" s="350">
        <f>J49/$M$14</f>
        <v>1274.587750909091</v>
      </c>
      <c r="N49" s="351">
        <f>J49/$N$14</f>
        <v>33.989006690909093</v>
      </c>
    </row>
    <row r="50" spans="1:14" ht="13.5" thickBot="1">
      <c r="A50" s="353"/>
      <c r="B50" s="347">
        <v>36</v>
      </c>
      <c r="C50" s="200">
        <v>40321.962</v>
      </c>
      <c r="D50" s="349">
        <v>3147</v>
      </c>
      <c r="E50" s="349">
        <f>C50+D50</f>
        <v>43468.962</v>
      </c>
      <c r="F50" s="349">
        <f>ROUND(E50*$G$2,0)</f>
        <v>9172</v>
      </c>
      <c r="G50" s="350">
        <f>IF(E50&gt;$L$5,$N$5*(E50-$L$5)+$N$4*($L$5-$L$4)+$N$3*($L$4-$L$1),IF($L$5&gt;E50&gt;$L$4,$N$4*(E50-$L$4)+$N$3*($L$4-$L$1),0))</f>
        <v>4807.500756</v>
      </c>
      <c r="H50" s="350">
        <f>E50/100*0.5</f>
        <v>217.34481</v>
      </c>
      <c r="I50" s="349">
        <f>SUM(F50:H50)</f>
        <v>14196.845566000002</v>
      </c>
      <c r="J50" s="349">
        <f>I50+E50</f>
        <v>57665.807566</v>
      </c>
      <c r="K50" s="350">
        <f>J50/$K$14</f>
        <v>4805.4839638333333</v>
      </c>
      <c r="L50" s="350">
        <f>J50/$L$14</f>
        <v>262.11730711818183</v>
      </c>
      <c r="M50" s="350">
        <f>J50/$M$14</f>
        <v>1310.5865355909091</v>
      </c>
      <c r="N50" s="351">
        <f>J50/$N$14</f>
        <v>34.948974282424246</v>
      </c>
    </row>
    <row r="51" spans="1:14">
      <c r="A51" s="346">
        <v>7</v>
      </c>
      <c r="B51" s="347">
        <v>37</v>
      </c>
      <c r="C51" s="200">
        <v>41526.256</v>
      </c>
      <c r="D51" s="349">
        <v>3147</v>
      </c>
      <c r="E51" s="349">
        <f>C51+D51</f>
        <v>44673.256</v>
      </c>
      <c r="F51" s="349">
        <f>ROUND(E51*$G$2,0)</f>
        <v>9426</v>
      </c>
      <c r="G51" s="350">
        <f>IF(E51&gt;$L$5,$N$5*(E51-$L$5)+$N$4*($L$5-$L$4)+$N$3*($L$4-$L$1),IF($L$5&gt;E51&gt;$L$4,$N$4*(E51-$L$4)+$N$3*($L$4-$L$1),0))</f>
        <v>4973.693328</v>
      </c>
      <c r="H51" s="350">
        <f>E51/100*0.5</f>
        <v>223.36628000000002</v>
      </c>
      <c r="I51" s="349">
        <f>SUM(F51:H51)</f>
        <v>14623.059608000001</v>
      </c>
      <c r="J51" s="349">
        <f>I51+E51</f>
        <v>59296.315608000004</v>
      </c>
      <c r="K51" s="350">
        <f>J51/$K$14</f>
        <v>4941.359634</v>
      </c>
      <c r="L51" s="350">
        <f>J51/$L$14</f>
        <v>269.52870730909092</v>
      </c>
      <c r="M51" s="350">
        <f>J51/$M$14</f>
        <v>1347.6435365454547</v>
      </c>
      <c r="N51" s="351">
        <f>J51/$N$14</f>
        <v>35.937160974545456</v>
      </c>
    </row>
    <row r="52" spans="1:14">
      <c r="A52" s="352"/>
      <c r="B52" s="347">
        <v>38</v>
      </c>
      <c r="C52" s="200">
        <v>42792</v>
      </c>
      <c r="D52" s="349">
        <v>3147</v>
      </c>
      <c r="E52" s="349">
        <f>C52+D52</f>
        <v>45939</v>
      </c>
      <c r="F52" s="349">
        <f>ROUND(E52*$G$2,0)</f>
        <v>9693</v>
      </c>
      <c r="G52" s="350">
        <f>IF(E52&gt;$L$5,$N$5*(E52-$L$5)+$N$4*($L$5-$L$4)+$N$3*($L$4-$L$1),IF($L$5&gt;E52&gt;$L$4,$N$4*(E52-$L$4)+$N$3*($L$4-$L$1),0))</f>
        <v>5148.366</v>
      </c>
      <c r="H52" s="350">
        <f>E52/100*0.5</f>
        <v>229.695</v>
      </c>
      <c r="I52" s="349">
        <f>SUM(F52:H52)</f>
        <v>15071.061</v>
      </c>
      <c r="J52" s="349">
        <f>I52+E52</f>
        <v>61010.061</v>
      </c>
      <c r="K52" s="350">
        <f>J52/$K$14</f>
        <v>5084.17175</v>
      </c>
      <c r="L52" s="350">
        <f>J52/$L$14</f>
        <v>277.31845909090907</v>
      </c>
      <c r="M52" s="350">
        <f>J52/$M$14</f>
        <v>1386.5922954545456</v>
      </c>
      <c r="N52" s="351">
        <f>J52/$N$14</f>
        <v>36.975794545454548</v>
      </c>
    </row>
    <row r="53" spans="1:14">
      <c r="A53" s="352"/>
      <c r="B53" s="347">
        <v>39</v>
      </c>
      <c r="C53" s="200">
        <v>44045</v>
      </c>
      <c r="D53" s="349">
        <v>3147</v>
      </c>
      <c r="E53" s="349">
        <f>C53+D53</f>
        <v>47192</v>
      </c>
      <c r="F53" s="349">
        <f>ROUND(E53*$G$2,0)</f>
        <v>9958</v>
      </c>
      <c r="G53" s="350">
        <f>IF(E53&gt;$L$5,$N$5*(E53-$L$5)+$N$4*($L$5-$L$4)+$N$3*($L$4-$L$1),IF($L$5&gt;E53&gt;$L$4,$N$4*(E53-$L$4)+$N$3*($L$4-$L$1),0))</f>
        <v>5321.2800000000007</v>
      </c>
      <c r="H53" s="350">
        <f>E53/100*0.5</f>
        <v>235.96</v>
      </c>
      <c r="I53" s="349">
        <f>SUM(F53:H53)</f>
        <v>15515.24</v>
      </c>
      <c r="J53" s="349">
        <f>I53+E53</f>
        <v>62707.24</v>
      </c>
      <c r="K53" s="350">
        <f>J53/$K$14</f>
        <v>5225.6033333333335</v>
      </c>
      <c r="L53" s="350">
        <f>J53/$L$14</f>
        <v>285.03290909090907</v>
      </c>
      <c r="M53" s="350">
        <f>J53/$M$14</f>
        <v>1425.1645454545453</v>
      </c>
      <c r="N53" s="351">
        <f>J53/$N$14</f>
        <v>38.004387878787881</v>
      </c>
    </row>
    <row r="54" spans="1:14">
      <c r="A54" s="352"/>
      <c r="B54" s="347">
        <v>40</v>
      </c>
      <c r="C54" s="200">
        <v>45361.062</v>
      </c>
      <c r="D54" s="349">
        <v>3147</v>
      </c>
      <c r="E54" s="349">
        <f>C54+D54</f>
        <v>48508.062</v>
      </c>
      <c r="F54" s="349">
        <f>ROUND(E54*$G$2,0)</f>
        <v>10235</v>
      </c>
      <c r="G54" s="350">
        <f>IF(E54&gt;$L$5,$N$5*(E54-$L$5)+$N$4*($L$5-$L$4)+$N$3*($L$4-$L$1),IF($L$5&gt;E54&gt;$L$4,$N$4*(E54-$L$4)+$N$3*($L$4-$L$1),0))</f>
        <v>5502.8965560000006</v>
      </c>
      <c r="H54" s="350">
        <f>E54/100*0.5</f>
        <v>242.54030999999998</v>
      </c>
      <c r="I54" s="349">
        <f>SUM(F54:H54)</f>
        <v>15980.436866</v>
      </c>
      <c r="J54" s="349">
        <f>I54+E54</f>
        <v>64488.498865999994</v>
      </c>
      <c r="K54" s="350">
        <f>J54/$K$14</f>
        <v>5374.0415721666659</v>
      </c>
      <c r="L54" s="350">
        <f>J54/$L$14</f>
        <v>293.1295403</v>
      </c>
      <c r="M54" s="350">
        <f>J54/$M$14</f>
        <v>1465.6477014999998</v>
      </c>
      <c r="N54" s="351">
        <f>J54/$N$14</f>
        <v>39.083938706666665</v>
      </c>
    </row>
    <row r="55" spans="1:14">
      <c r="A55" s="352"/>
      <c r="B55" s="347">
        <v>41</v>
      </c>
      <c r="C55" s="200">
        <v>46718.056</v>
      </c>
      <c r="D55" s="349">
        <v>3147</v>
      </c>
      <c r="E55" s="349">
        <f>C55+D55</f>
        <v>49865.056</v>
      </c>
      <c r="F55" s="349">
        <f>ROUND(E55*$G$2,0)</f>
        <v>10522</v>
      </c>
      <c r="G55" s="350">
        <f>IF(E55&gt;$L$5,$N$5*(E55-$L$5)+$N$4*($L$5-$L$4)+$N$3*($L$4-$L$1),IF($L$5&gt;E55&gt;$L$4,$N$4*(E55-$L$4)+$N$3*($L$4-$L$1),0))</f>
        <v>5690.161728</v>
      </c>
      <c r="H55" s="350">
        <f>E55/100*0.5</f>
        <v>249.32528</v>
      </c>
      <c r="I55" s="349">
        <f>SUM(F55:H55)</f>
        <v>16461.487008</v>
      </c>
      <c r="J55" s="349">
        <f>I55+E55</f>
        <v>66326.543008</v>
      </c>
      <c r="K55" s="350">
        <f>J55/$K$14</f>
        <v>5527.2119173333331</v>
      </c>
      <c r="L55" s="350">
        <f>J55/$L$14</f>
        <v>301.4842864</v>
      </c>
      <c r="M55" s="350">
        <f>J55/$M$14</f>
        <v>1507.4214319999999</v>
      </c>
      <c r="N55" s="351">
        <f>J55/$N$14</f>
        <v>40.197904853333327</v>
      </c>
    </row>
    <row r="56" spans="1:14">
      <c r="A56" s="352"/>
      <c r="B56" s="347">
        <v>42</v>
      </c>
      <c r="C56" s="200">
        <v>48113.734</v>
      </c>
      <c r="D56" s="349">
        <v>3147</v>
      </c>
      <c r="E56" s="349">
        <f>C56+D56</f>
        <v>51260.734</v>
      </c>
      <c r="F56" s="349">
        <f>ROUND(E56*$G$2,0)</f>
        <v>10816</v>
      </c>
      <c r="G56" s="350">
        <f>IF(E56&gt;$L$5,$N$5*(E56-$L$5)+$N$4*($L$5-$L$4)+$N$3*($L$4-$L$1),IF($L$5&gt;E56&gt;$L$4,$N$4*(E56-$L$4)+$N$3*($L$4-$L$1),0))</f>
        <v>5882.765292</v>
      </c>
      <c r="H56" s="350">
        <f>E56/100*0.5</f>
        <v>256.30367</v>
      </c>
      <c r="I56" s="349">
        <f>SUM(F56:H56)</f>
        <v>16955.068962</v>
      </c>
      <c r="J56" s="349">
        <f>I56+E56</f>
        <v>68215.802962</v>
      </c>
      <c r="K56" s="350">
        <f>J56/$K$14</f>
        <v>5684.6502468333338</v>
      </c>
      <c r="L56" s="350">
        <f>J56/$L$14</f>
        <v>310.07183164545455</v>
      </c>
      <c r="M56" s="350">
        <f>J56/$M$14</f>
        <v>1550.3591582272727</v>
      </c>
      <c r="N56" s="351">
        <f>J56/$N$14</f>
        <v>41.342910886060608</v>
      </c>
    </row>
    <row r="57" spans="1:14" ht="13.5" thickBot="1">
      <c r="A57" s="353"/>
      <c r="B57" s="347">
        <v>43</v>
      </c>
      <c r="C57" s="200">
        <v>49553.185999999994</v>
      </c>
      <c r="D57" s="349">
        <v>3147</v>
      </c>
      <c r="E57" s="349">
        <f>C57+D57</f>
        <v>52700.185999999994</v>
      </c>
      <c r="F57" s="349">
        <f>ROUND(E57*$G$2,0)</f>
        <v>11120</v>
      </c>
      <c r="G57" s="350">
        <f>IF(E57&gt;$L$5,$N$5*(E57-$L$5)+$N$4*($L$5-$L$4)+$N$3*($L$4-$L$1),IF($L$5&gt;E57&gt;$L$4,$N$4*(E57-$L$4)+$N$3*($L$4-$L$1),0))</f>
        <v>6081.409668</v>
      </c>
      <c r="H57" s="350">
        <f>E57/100*0.5</f>
        <v>263.50093</v>
      </c>
      <c r="I57" s="349">
        <f>SUM(F57:H57)</f>
        <v>17464.910598</v>
      </c>
      <c r="J57" s="349">
        <f>I57+E57</f>
        <v>70165.096597999989</v>
      </c>
      <c r="K57" s="350">
        <f>J57/$K$14</f>
        <v>5847.0913831666658</v>
      </c>
      <c r="L57" s="350">
        <f>J57/$L$14</f>
        <v>318.9322572636363</v>
      </c>
      <c r="M57" s="350">
        <f>J57/$M$14</f>
        <v>1594.6612863181815</v>
      </c>
      <c r="N57" s="351">
        <f>J57/$N$14</f>
        <v>42.524300968484845</v>
      </c>
    </row>
    <row r="58" spans="1:14">
      <c r="A58" s="346">
        <v>8</v>
      </c>
      <c r="B58" s="347">
        <v>44</v>
      </c>
      <c r="C58" s="200">
        <v>51034.376</v>
      </c>
      <c r="D58" s="349">
        <v>3147</v>
      </c>
      <c r="E58" s="349">
        <f>C58+D58</f>
        <v>54181.376</v>
      </c>
      <c r="F58" s="349">
        <f>ROUND(E58*$G$2,0)</f>
        <v>11432</v>
      </c>
      <c r="G58" s="350">
        <f>IF(E58&gt;$L$5,$N$5*(E58-$L$5)+$N$4*($L$5-$L$4)+$N$3*($L$4-$L$1),IF($L$5&gt;E58&gt;$L$4,$N$4*(E58-$L$4)+$N$3*($L$4-$L$1),0))</f>
        <v>6285.8138880000006</v>
      </c>
      <c r="H58" s="350">
        <f>E58/100*0.5</f>
        <v>270.90688</v>
      </c>
      <c r="I58" s="349">
        <f>SUM(F58:H58)</f>
        <v>17988.720768</v>
      </c>
      <c r="J58" s="349">
        <f>I58+E58</f>
        <v>72170.096767999989</v>
      </c>
      <c r="K58" s="350">
        <f>J58/$K$14</f>
        <v>6014.1747306666657</v>
      </c>
      <c r="L58" s="350">
        <f>J58/$L$14</f>
        <v>328.04589439999995</v>
      </c>
      <c r="M58" s="350">
        <f>J58/$M$14</f>
        <v>1640.2294719999998</v>
      </c>
      <c r="N58" s="351">
        <f>J58/$N$14</f>
        <v>43.739452586666658</v>
      </c>
    </row>
    <row r="59" spans="1:14">
      <c r="A59" s="352"/>
      <c r="B59" s="347">
        <v>45</v>
      </c>
      <c r="C59" s="200">
        <v>52560</v>
      </c>
      <c r="D59" s="349">
        <v>3147</v>
      </c>
      <c r="E59" s="349">
        <f>C59+D59</f>
        <v>55707</v>
      </c>
      <c r="F59" s="349">
        <f>ROUND(E59*$G$2,0)</f>
        <v>11754</v>
      </c>
      <c r="G59" s="350">
        <f>IF(E59&gt;$L$5,$N$5*(E59-$L$5)+$N$4*($L$5-$L$4)+$N$3*($L$4-$L$1),IF($L$5&gt;E59&gt;$L$4,$N$4*(E59-$L$4)+$N$3*($L$4-$L$1),0))</f>
        <v>6496.35</v>
      </c>
      <c r="H59" s="350">
        <f>E59/100*0.5</f>
        <v>278.535</v>
      </c>
      <c r="I59" s="349">
        <f>SUM(F59:H59)</f>
        <v>18528.885</v>
      </c>
      <c r="J59" s="349">
        <f>I59+E59</f>
        <v>74235.885</v>
      </c>
      <c r="K59" s="350">
        <f>J59/$K$14</f>
        <v>6186.32375</v>
      </c>
      <c r="L59" s="350">
        <f>J59/$L$14</f>
        <v>337.43584090909087</v>
      </c>
      <c r="M59" s="350">
        <f>J59/$M$14</f>
        <v>1687.1792045454545</v>
      </c>
      <c r="N59" s="351">
        <f>J59/$N$14</f>
        <v>44.991445454545449</v>
      </c>
    </row>
    <row r="60" spans="1:14">
      <c r="A60" s="352"/>
      <c r="B60" s="347">
        <v>46</v>
      </c>
      <c r="C60" s="200">
        <v>54131.132</v>
      </c>
      <c r="D60" s="349">
        <v>3147</v>
      </c>
      <c r="E60" s="349">
        <f>C60+D60</f>
        <v>57278.132</v>
      </c>
      <c r="F60" s="349">
        <f>ROUND(E60*$G$2,0)</f>
        <v>12086</v>
      </c>
      <c r="G60" s="350">
        <f>IF(E60&gt;$L$5,$N$5*(E60-$L$5)+$N$4*($L$5-$L$4)+$N$3*($L$4-$L$1),IF($L$5&gt;E60&gt;$L$4,$N$4*(E60-$L$4)+$N$3*($L$4-$L$1),0))</f>
        <v>6713.1662160000005</v>
      </c>
      <c r="H60" s="350">
        <f>E60/100*0.5</f>
        <v>286.39065999999997</v>
      </c>
      <c r="I60" s="349">
        <f>SUM(F60:H60)</f>
        <v>19085.556876000002</v>
      </c>
      <c r="J60" s="349">
        <f>I60+E60</f>
        <v>76363.688876</v>
      </c>
      <c r="K60" s="350">
        <f>J60/$K$14</f>
        <v>6363.6407396666664</v>
      </c>
      <c r="L60" s="350">
        <f>J60/$L$14</f>
        <v>347.10767670909092</v>
      </c>
      <c r="M60" s="350">
        <f>J60/$M$14</f>
        <v>1735.5383835454545</v>
      </c>
      <c r="N60" s="351">
        <f>J60/$N$14</f>
        <v>46.281023561212123</v>
      </c>
    </row>
    <row r="61" spans="1:14">
      <c r="A61" s="352"/>
      <c r="B61" s="347">
        <v>47</v>
      </c>
      <c r="C61" s="200">
        <v>55750</v>
      </c>
      <c r="D61" s="349">
        <v>3147</v>
      </c>
      <c r="E61" s="349">
        <f>C61+D61</f>
        <v>58897</v>
      </c>
      <c r="F61" s="349">
        <f>ROUND(E61*$G$2,0)</f>
        <v>12427</v>
      </c>
      <c r="G61" s="350">
        <f>IF(E61&gt;$L$5,$N$5*(E61-$L$5)+$N$4*($L$5-$L$4)+$N$3*($L$4-$L$1),IF($L$5&gt;E61&gt;$L$4,$N$4*(E61-$L$4)+$N$3*($L$4-$L$1),0))</f>
        <v>6936.5700000000006</v>
      </c>
      <c r="H61" s="350">
        <f>E61/100*0.5</f>
        <v>294.485</v>
      </c>
      <c r="I61" s="349">
        <f>SUM(F61:H61)</f>
        <v>19658.055</v>
      </c>
      <c r="J61" s="349">
        <f>I61+E61</f>
        <v>78555.055</v>
      </c>
      <c r="K61" s="350">
        <f>J61/$K$14</f>
        <v>6546.2545833333324</v>
      </c>
      <c r="L61" s="350">
        <f>J61/$L$14</f>
        <v>357.06843181818181</v>
      </c>
      <c r="M61" s="350">
        <f>J61/$M$14</f>
        <v>1785.342159090909</v>
      </c>
      <c r="N61" s="351">
        <f>J61/$N$14</f>
        <v>47.609124242424237</v>
      </c>
    </row>
    <row r="62" spans="1:14">
      <c r="A62" s="352"/>
      <c r="B62" s="347">
        <v>48</v>
      </c>
      <c r="C62" s="200">
        <v>57418.253999999994</v>
      </c>
      <c r="D62" s="349">
        <v>3147</v>
      </c>
      <c r="E62" s="349">
        <f>C62+D62</f>
        <v>60565.253999999994</v>
      </c>
      <c r="F62" s="349">
        <f>ROUND(E62*$G$2,0)</f>
        <v>12779</v>
      </c>
      <c r="G62" s="350">
        <f>IF(E62&gt;$L$5,$N$5*(E62-$L$5)+$N$4*($L$5-$L$4)+$N$3*($L$4-$L$1),IF($L$5&gt;E62&gt;$L$4,$N$4*(E62-$L$4)+$N$3*($L$4-$L$1),0))</f>
        <v>7166.789052</v>
      </c>
      <c r="H62" s="350">
        <f>E62/100*0.5</f>
        <v>302.82626999999997</v>
      </c>
      <c r="I62" s="349">
        <f>SUM(F62:H62)</f>
        <v>20248.615322</v>
      </c>
      <c r="J62" s="349">
        <f>I62+E62</f>
        <v>80813.869322</v>
      </c>
      <c r="K62" s="350">
        <f>J62/$K$14</f>
        <v>6734.4891101666663</v>
      </c>
      <c r="L62" s="350">
        <f>J62/$L$14</f>
        <v>367.33576964545455</v>
      </c>
      <c r="M62" s="350">
        <f>J62/$M$14</f>
        <v>1836.6788482272727</v>
      </c>
      <c r="N62" s="351">
        <f>J62/$N$14</f>
        <v>48.978102619393937</v>
      </c>
    </row>
    <row r="63" spans="1:14" ht="13.5" thickBot="1">
      <c r="A63" s="353"/>
      <c r="B63" s="347">
        <v>49</v>
      </c>
      <c r="C63" s="200">
        <v>59134.602</v>
      </c>
      <c r="D63" s="349">
        <v>3147</v>
      </c>
      <c r="E63" s="349">
        <f>C63+D63</f>
        <v>62281.602</v>
      </c>
      <c r="F63" s="349">
        <f>ROUND(E63*$G$2,0)</f>
        <v>13141</v>
      </c>
      <c r="G63" s="350">
        <f>IF(E63&gt;$L$5,$N$5*(E63-$L$5)+$N$4*($L$5-$L$4)+$N$3*($L$4-$L$1),IF($L$5&gt;E63&gt;$L$4,$N$4*(E63-$L$4)+$N$3*($L$4-$L$1),0))</f>
        <v>7403.6450760000007</v>
      </c>
      <c r="H63" s="350">
        <f>E63/100*0.5</f>
        <v>311.40801</v>
      </c>
      <c r="I63" s="349">
        <f>SUM(F63:H63)</f>
        <v>20856.053086</v>
      </c>
      <c r="J63" s="349">
        <f>I63+E63</f>
        <v>83137.655086</v>
      </c>
      <c r="K63" s="350">
        <f>J63/$K$14</f>
        <v>6928.1379238333329</v>
      </c>
      <c r="L63" s="350">
        <f>J63/$L$14</f>
        <v>377.89843220909091</v>
      </c>
      <c r="M63" s="350">
        <f>J63/$M$14</f>
        <v>1889.4921610454546</v>
      </c>
      <c r="N63" s="351">
        <f>J63/$N$14</f>
        <v>50.386457627878784</v>
      </c>
    </row>
    <row r="64" spans="1:14">
      <c r="A64" s="346" t="s">
        <v>192</v>
      </c>
      <c r="B64" s="347">
        <v>50</v>
      </c>
      <c r="C64" s="200">
        <v>60904.903999999995</v>
      </c>
      <c r="D64" s="349">
        <v>3147</v>
      </c>
      <c r="E64" s="349">
        <f>C64+D64</f>
        <v>64051.903999999995</v>
      </c>
      <c r="F64" s="349">
        <f>ROUND(E64*$G$2,0)</f>
        <v>13515</v>
      </c>
      <c r="G64" s="350">
        <f>IF(E64&gt;$L$5,$N$5*(E64-$L$5)+$N$4*($L$5-$L$4)+$N$3*($L$4-$L$1),IF($L$5&gt;E64&gt;$L$4,$N$4*(E64-$L$4)+$N$3*($L$4-$L$1),0))</f>
        <v>7647.946752</v>
      </c>
      <c r="H64" s="350">
        <f>E64/100*0.5</f>
        <v>320.25951999999995</v>
      </c>
      <c r="I64" s="349">
        <f>SUM(F64:H64)</f>
        <v>21483.206272</v>
      </c>
      <c r="J64" s="349">
        <f>I64+E64</f>
        <v>85535.110271999991</v>
      </c>
      <c r="K64" s="350">
        <f>J64/$K$14</f>
        <v>7127.9258559999989</v>
      </c>
      <c r="L64" s="350">
        <f>J64/$L$14</f>
        <v>388.79595578181812</v>
      </c>
      <c r="M64" s="350">
        <f>J64/$M$14</f>
        <v>1943.9797789090908</v>
      </c>
      <c r="N64" s="351">
        <f>J64/$N$14</f>
        <v>51.839460770909085</v>
      </c>
    </row>
    <row r="65" spans="1:14">
      <c r="A65" s="352"/>
      <c r="B65" s="347">
        <v>51</v>
      </c>
      <c r="C65" s="200">
        <v>62727.123999999996</v>
      </c>
      <c r="D65" s="349">
        <v>3147</v>
      </c>
      <c r="E65" s="349">
        <f>C65+D65</f>
        <v>65874.124</v>
      </c>
      <c r="F65" s="349">
        <f>ROUND(E65*$G$2,0)</f>
        <v>13899</v>
      </c>
      <c r="G65" s="350">
        <f>IF(E65&gt;$L$5,$N$5*(E65-$L$5)+$N$4*($L$5-$L$4)+$N$3*($L$4-$L$1),IF($L$5&gt;E65&gt;$L$4,$N$4*(E65-$L$4)+$N$3*($L$4-$L$1),0))</f>
        <v>7899.413112</v>
      </c>
      <c r="H65" s="350">
        <f>E65/100*0.5</f>
        <v>329.37062</v>
      </c>
      <c r="I65" s="349">
        <f>SUM(F65:H65)</f>
        <v>22127.783732000004</v>
      </c>
      <c r="J65" s="349">
        <f>I65+E65</f>
        <v>88001.907731999992</v>
      </c>
      <c r="K65" s="350">
        <f>J65/$K$14</f>
        <v>7333.4923109999991</v>
      </c>
      <c r="L65" s="350">
        <f>J65/$L$14</f>
        <v>400.0086715090909</v>
      </c>
      <c r="M65" s="350">
        <f>J65/$M$14</f>
        <v>2000.0433575454545</v>
      </c>
      <c r="N65" s="351">
        <f>J65/$N$14</f>
        <v>53.334489534545447</v>
      </c>
    </row>
    <row r="66" spans="1:14" ht="13.5" thickBot="1">
      <c r="A66" s="353"/>
      <c r="B66" s="354">
        <v>52</v>
      </c>
      <c r="C66" s="200">
        <v>64605.333999999995</v>
      </c>
      <c r="D66" s="349">
        <v>3147</v>
      </c>
      <c r="E66" s="349">
        <f>C66+D66</f>
        <v>67752.334</v>
      </c>
      <c r="F66" s="349">
        <f>ROUND(E66*$G$2,0)</f>
        <v>14296</v>
      </c>
      <c r="G66" s="350">
        <f>IF(E66&gt;$L$5,$N$5*(E66-$L$5)+$N$4*($L$5-$L$4)+$N$3*($L$4-$L$1),IF($L$5&gt;E66&gt;$L$4,$N$4*(E66-$L$4)+$N$3*($L$4-$L$1),0))</f>
        <v>8158.6060920000009</v>
      </c>
      <c r="H66" s="350">
        <f>E66/100*0.5</f>
        <v>338.76167000000004</v>
      </c>
      <c r="I66" s="349">
        <f>SUM(F66:H66)</f>
        <v>22793.367762</v>
      </c>
      <c r="J66" s="349">
        <f>I66+E66</f>
        <v>90545.701762000012</v>
      </c>
      <c r="K66" s="350">
        <f>J66/$K$14</f>
        <v>7545.4751468333343</v>
      </c>
      <c r="L66" s="350">
        <f>J66/$L$14</f>
        <v>411.57137164545458</v>
      </c>
      <c r="M66" s="350">
        <f>J66/$M$14</f>
        <v>2057.8568582272728</v>
      </c>
      <c r="N66" s="351">
        <f>J66/$N$14</f>
        <v>54.876182886060612</v>
      </c>
    </row>
  </sheetData>
  <mergeCells count="11">
    <mergeCell ref="A36:A43"/>
    <mergeCell ref="A44:A50"/>
    <mergeCell ref="A51:A57"/>
    <mergeCell ref="A58:A63"/>
    <mergeCell ref="A64:A66"/>
    <mergeCell ref="B11:K11"/>
    <mergeCell ref="F13:I13"/>
    <mergeCell ref="A15:A19"/>
    <mergeCell ref="A20:A24"/>
    <mergeCell ref="A25:A29"/>
    <mergeCell ref="A30:A35"/>
  </mergeCells>
  <pageMargins left="0.7" right="0.7" top="0.75" bottom="0.75" header="0.3" footer="0.3"/>
  <headerFooter scaleWithDoc="1" alignWithMargins="0" differentFirst="0" differentOddEven="0"/>
  <extLst/>
</worksheet>
</file>

<file path=xl/worksheets/sheet1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P66"/>
  <sheetViews>
    <sheetView topLeftCell="A10" view="normal" workbookViewId="0">
      <selection pane="topLeft" activeCell="A1" sqref="A1:XFD10"/>
    </sheetView>
  </sheetViews>
  <sheetFormatPr defaultRowHeight="12.75"/>
  <cols>
    <col min="1" max="1" width="26.375" style="202" customWidth="1"/>
    <col min="2" max="2" width="17.625" style="202" customWidth="1"/>
    <col min="3" max="7" width="9.125" style="179" customWidth="1"/>
    <col min="8" max="9" width="10.125" style="179" bestFit="1" customWidth="1"/>
    <col min="10" max="11" width="9.125" style="179" customWidth="1"/>
    <col min="12" max="12" width="11.75390625" style="179" customWidth="1"/>
    <col min="13" max="13" width="9.125" style="179" customWidth="1"/>
    <col min="14" max="14" width="10.125" style="179" bestFit="1" customWidth="1"/>
    <col min="15" max="16384" width="9.125" style="179" customWidth="1"/>
  </cols>
  <sheetData>
    <row r="1" spans="10:16" hidden="1">
      <c r="J1" s="179" t="s">
        <v>193</v>
      </c>
      <c r="L1" s="203"/>
      <c r="M1" s="180" t="s">
        <v>168</v>
      </c>
      <c r="N1" s="181">
        <v>6136</v>
      </c>
      <c r="O1" s="182" t="s">
        <v>169</v>
      </c>
      <c r="P1" s="183"/>
    </row>
    <row r="2" spans="10:16" hidden="1">
      <c r="J2" s="184">
        <v>0.206</v>
      </c>
      <c r="L2" s="203"/>
      <c r="M2" s="180" t="s">
        <v>170</v>
      </c>
      <c r="N2" s="181">
        <v>50000</v>
      </c>
      <c r="O2" s="185"/>
      <c r="P2" s="186"/>
    </row>
    <row r="3" spans="12:16" hidden="1">
      <c r="L3" s="203"/>
      <c r="M3" s="180" t="s">
        <v>171</v>
      </c>
      <c r="N3" s="181">
        <v>8632</v>
      </c>
      <c r="O3" s="185" t="s">
        <v>172</v>
      </c>
      <c r="P3" s="187">
        <v>0</v>
      </c>
    </row>
    <row r="4" spans="12:16" hidden="1">
      <c r="L4" s="203"/>
      <c r="M4" s="188" t="s">
        <v>174</v>
      </c>
      <c r="N4" s="189">
        <v>8632</v>
      </c>
      <c r="O4" s="190" t="s">
        <v>175</v>
      </c>
      <c r="P4" s="191">
        <v>0.138</v>
      </c>
    </row>
    <row r="5" spans="12:16" hidden="1">
      <c r="L5" s="203"/>
      <c r="M5" s="180" t="s">
        <v>176</v>
      </c>
      <c r="N5" s="181">
        <v>50000</v>
      </c>
      <c r="O5" s="192" t="s">
        <v>177</v>
      </c>
      <c r="P5" s="193">
        <v>0.138</v>
      </c>
    </row>
    <row r="6" spans="1:1" hidden="1">
      <c r="A6"/>
    </row>
    <row r="7" spans="1:1" hidden="1">
      <c r="A7"/>
    </row>
    <row r="8" spans="1:1" hidden="1">
      <c r="A8"/>
    </row>
    <row r="9" spans="1:1" hidden="1">
      <c r="A9"/>
    </row>
    <row r="10" spans="1:10" ht="19.5" customHeight="1">
      <c r="A10" s="307" t="s">
        <v>194</v>
      </c>
      <c r="B10" s="307"/>
      <c r="C10" s="307"/>
      <c r="D10" s="307"/>
      <c r="E10" s="307"/>
      <c r="F10" s="307"/>
      <c r="G10" s="307"/>
      <c r="H10" s="307"/>
      <c r="I10" s="204"/>
      <c r="J10" s="204"/>
    </row>
    <row r="11" ht="19.5" customHeight="1"/>
    <row r="12" spans="1:15" ht="38.25">
      <c r="A12" s="180" t="s">
        <v>195</v>
      </c>
      <c r="B12" s="205" t="s">
        <v>196</v>
      </c>
      <c r="C12" s="196" t="s">
        <v>179</v>
      </c>
      <c r="D12" s="196" t="s">
        <v>180</v>
      </c>
      <c r="E12" s="196" t="s">
        <v>181</v>
      </c>
      <c r="F12" s="196" t="s">
        <v>182</v>
      </c>
      <c r="G12" s="308" t="s">
        <v>183</v>
      </c>
      <c r="H12" s="309"/>
      <c r="I12" s="309"/>
      <c r="J12" s="276"/>
      <c r="K12" s="196" t="s">
        <v>184</v>
      </c>
      <c r="L12" s="196" t="s">
        <v>185</v>
      </c>
      <c r="M12" s="196" t="s">
        <v>187</v>
      </c>
      <c r="N12" s="196" t="s">
        <v>186</v>
      </c>
      <c r="O12" s="196" t="s">
        <v>188</v>
      </c>
    </row>
    <row r="13" spans="1:15" ht="25.5">
      <c r="A13" s="206"/>
      <c r="B13" s="206"/>
      <c r="C13" s="207"/>
      <c r="D13" s="207"/>
      <c r="E13" s="207"/>
      <c r="F13" s="207"/>
      <c r="G13" s="208" t="s">
        <v>197</v>
      </c>
      <c r="H13" s="208" t="s">
        <v>198</v>
      </c>
      <c r="I13" s="209" t="s">
        <v>191</v>
      </c>
      <c r="J13" s="209" t="s">
        <v>182</v>
      </c>
      <c r="K13" s="207"/>
      <c r="L13" s="207"/>
      <c r="M13" s="207"/>
      <c r="N13" s="207"/>
      <c r="O13" s="207"/>
    </row>
    <row r="14" spans="1:15" ht="13.5" thickBot="1">
      <c r="A14" s="206"/>
      <c r="B14" s="206"/>
      <c r="C14" s="210"/>
      <c r="D14" s="210"/>
      <c r="E14" s="210"/>
      <c r="F14" s="210"/>
      <c r="G14" s="210"/>
      <c r="H14" s="210"/>
      <c r="I14" s="210"/>
      <c r="J14" s="210"/>
      <c r="K14" s="210"/>
      <c r="L14" s="211">
        <v>12</v>
      </c>
      <c r="M14" s="211">
        <v>44</v>
      </c>
      <c r="N14" s="211">
        <v>220</v>
      </c>
      <c r="O14" s="211">
        <v>1650</v>
      </c>
    </row>
    <row r="15" spans="1:16" ht="13.5" thickTop="1">
      <c r="A15" s="212" t="s">
        <v>199</v>
      </c>
      <c r="B15" s="212" t="s">
        <v>199</v>
      </c>
      <c r="C15" s="213" t="s">
        <v>200</v>
      </c>
      <c r="D15" s="214">
        <v>27146</v>
      </c>
      <c r="E15" s="214">
        <v>2162</v>
      </c>
      <c r="F15" s="215">
        <f>D15+E15</f>
        <v>29308</v>
      </c>
      <c r="G15" s="215">
        <f>ROUND(F15*$J$2,0)</f>
        <v>6037</v>
      </c>
      <c r="H15" s="181">
        <f>IF(F15&gt;$N$5,$P$5*(F15-$N$5)+$P$4*($N$5-$N$4)+$P$3*($N$4-$N$1),IF($N$5&gt;F15&gt;$N$4,$P$4*(F15-$N$4)+$P$3*($N$4-$N$1),0))</f>
        <v>2853.2880000000005</v>
      </c>
      <c r="I15" s="216">
        <f>F15/100*0.5</f>
        <v>146.54</v>
      </c>
      <c r="J15" s="215">
        <f>G15+H15+I15</f>
        <v>9036.8280000000013</v>
      </c>
      <c r="K15" s="215">
        <f>J15+F15</f>
        <v>38344.828</v>
      </c>
      <c r="L15" s="215">
        <f>K15/$L$14</f>
        <v>3195.4023333333334</v>
      </c>
      <c r="M15" s="217">
        <f>K15/$M$14</f>
        <v>871.47336363636362</v>
      </c>
      <c r="N15" s="217">
        <f>K15/$N$14</f>
        <v>174.29467272727274</v>
      </c>
      <c r="O15" s="217">
        <f>K15/$O$14</f>
        <v>23.2392896969697</v>
      </c>
      <c r="P15" s="218"/>
    </row>
    <row r="16" spans="1:15">
      <c r="A16" s="212" t="s">
        <v>201</v>
      </c>
      <c r="B16" s="212"/>
      <c r="C16" s="213" t="s">
        <v>202</v>
      </c>
      <c r="D16" s="214">
        <v>31422</v>
      </c>
      <c r="E16" s="214">
        <v>2162</v>
      </c>
      <c r="F16" s="215">
        <f>D16+E16</f>
        <v>33584</v>
      </c>
      <c r="G16" s="215">
        <f>ROUND(F16*$J$2,0)</f>
        <v>6918</v>
      </c>
      <c r="H16" s="181">
        <f>IF(F16&gt;$N$5,$P$5*(F16-$N$5)+$P$4*($N$5-$N$4)+$P$3*($N$4-$N$1),IF($N$5&gt;F16&gt;$N$4,$P$4*(F16-$N$4)+$P$3*($N$4-$N$1),0))</f>
        <v>3443.376</v>
      </c>
      <c r="I16" s="216">
        <f>F16/100*0.5</f>
        <v>167.92</v>
      </c>
      <c r="J16" s="215">
        <f>G16+H16+I16</f>
        <v>10529.296</v>
      </c>
      <c r="K16" s="215">
        <f>J16+F16</f>
        <v>44113.296</v>
      </c>
      <c r="L16" s="215">
        <f>K16/$L$14</f>
        <v>3676.108</v>
      </c>
      <c r="M16" s="217">
        <f>K16/$M$14</f>
        <v>1002.5749090909092</v>
      </c>
      <c r="N16" s="217">
        <f>K16/$N$14</f>
        <v>200.51498181818184</v>
      </c>
      <c r="O16" s="217">
        <f>K16/$O$14</f>
        <v>26.735330909090909</v>
      </c>
    </row>
    <row r="17" spans="1:15">
      <c r="A17" s="212"/>
      <c r="B17" s="212"/>
      <c r="C17" s="213" t="s">
        <v>203</v>
      </c>
      <c r="D17" s="214">
        <v>37191</v>
      </c>
      <c r="E17" s="214">
        <v>2162</v>
      </c>
      <c r="F17" s="215">
        <f>D17+E17</f>
        <v>39353</v>
      </c>
      <c r="G17" s="215">
        <f>ROUND(F17*$J$2,0)</f>
        <v>8107</v>
      </c>
      <c r="H17" s="181">
        <f>IF(F17&gt;$N$5,$P$5*(F17-$N$5)+$P$4*($N$5-$N$4)+$P$3*($N$4-$N$1),IF($N$5&gt;F17&gt;$N$4,$P$4*(F17-$N$4)+$P$3*($N$4-$N$1),0))</f>
        <v>4239.4980000000005</v>
      </c>
      <c r="I17" s="216">
        <f>F17/100*0.5</f>
        <v>196.765</v>
      </c>
      <c r="J17" s="215">
        <f>G17+H17+I17</f>
        <v>12543.262999999999</v>
      </c>
      <c r="K17" s="215">
        <f>J17+F17</f>
        <v>51896.263</v>
      </c>
      <c r="L17" s="215">
        <f>K17/$L$14</f>
        <v>4324.6885833333336</v>
      </c>
      <c r="M17" s="217">
        <f>K17/$M$14</f>
        <v>1179.4605227272727</v>
      </c>
      <c r="N17" s="217">
        <f>K17/$N$14</f>
        <v>235.89210454545454</v>
      </c>
      <c r="O17" s="217">
        <f>K17/$O$14</f>
        <v>31.452280606060604</v>
      </c>
    </row>
    <row r="18" spans="1:15">
      <c r="A18" s="212"/>
      <c r="B18" s="212"/>
      <c r="C18" s="213" t="s">
        <v>204</v>
      </c>
      <c r="D18" s="214">
        <v>47132</v>
      </c>
      <c r="E18" s="214">
        <v>2162</v>
      </c>
      <c r="F18" s="215">
        <f>D18+E18</f>
        <v>49294</v>
      </c>
      <c r="G18" s="215">
        <f>ROUND(F18*$J$2,0)</f>
        <v>10155</v>
      </c>
      <c r="H18" s="181">
        <f>IF(F18&gt;$N$5,$P$5*(F18-$N$5)+$P$4*($N$5-$N$4)+$P$3*($N$4-$N$1),IF($N$5&gt;F18&gt;$N$4,$P$4*(F18-$N$4)+$P$3*($N$4-$N$1),0))</f>
        <v>5611.3560000000007</v>
      </c>
      <c r="I18" s="216">
        <f>F18/100*0.5</f>
        <v>246.47</v>
      </c>
      <c r="J18" s="215">
        <f>G18+H18+I18</f>
        <v>16012.826</v>
      </c>
      <c r="K18" s="215">
        <f>J18+F18</f>
        <v>65306.826</v>
      </c>
      <c r="L18" s="215">
        <f>K18/$L$14</f>
        <v>5442.2355</v>
      </c>
      <c r="M18" s="217">
        <f>K18/$M$14</f>
        <v>1484.2460454545455</v>
      </c>
      <c r="N18" s="217">
        <f>K18/$N$14</f>
        <v>296.84920909090908</v>
      </c>
      <c r="O18" s="217">
        <f>K18/$O$14</f>
        <v>39.579894545454543</v>
      </c>
    </row>
    <row r="19" spans="1:15">
      <c r="A19" s="212"/>
      <c r="B19" s="212"/>
      <c r="C19" s="213"/>
      <c r="D19" s="214"/>
      <c r="E19" s="214"/>
      <c r="F19" s="215"/>
      <c r="G19" s="215"/>
      <c r="H19" s="181"/>
      <c r="I19" s="216"/>
      <c r="J19" s="215"/>
      <c r="K19" s="215"/>
      <c r="L19" s="215"/>
      <c r="M19" s="217"/>
      <c r="N19" s="217"/>
      <c r="O19" s="217"/>
    </row>
    <row r="20" spans="1:15">
      <c r="A20" s="212" t="s">
        <v>205</v>
      </c>
      <c r="B20" s="212" t="s">
        <v>206</v>
      </c>
      <c r="C20" s="213" t="s">
        <v>200</v>
      </c>
      <c r="D20" s="214">
        <v>64472</v>
      </c>
      <c r="E20" s="214">
        <v>2162</v>
      </c>
      <c r="F20" s="215">
        <f>D20+E20</f>
        <v>66634</v>
      </c>
      <c r="G20" s="215">
        <f>ROUND(F20*$J$2,0)</f>
        <v>13727</v>
      </c>
      <c r="H20" s="181">
        <f>IF(F20&gt;$N$5,$P$5*(F20-$N$5)+$P$4*($N$5-$N$4)+$P$3*($N$4-$N$1),IF($N$5&gt;F20&gt;$N$4,$P$4*(F20-$N$4)+$P$3*($N$4-$N$1),0))</f>
        <v>8004.2760000000007</v>
      </c>
      <c r="I20" s="216">
        <f>F20/100*0.5</f>
        <v>333.17</v>
      </c>
      <c r="J20" s="215">
        <f>G20+H20+I20</f>
        <v>22064.446</v>
      </c>
      <c r="K20" s="215">
        <f>J20+F20</f>
        <v>88698.446</v>
      </c>
      <c r="L20" s="215">
        <f>K20/$L$14</f>
        <v>7391.5371666666661</v>
      </c>
      <c r="M20" s="217">
        <f>K20/$M$14</f>
        <v>2015.8737727272726</v>
      </c>
      <c r="N20" s="217">
        <f>K20/$N$14</f>
        <v>403.1747545454545</v>
      </c>
      <c r="O20" s="217">
        <f>K20/$O$14</f>
        <v>53.756633939393936</v>
      </c>
    </row>
    <row r="21" spans="1:15">
      <c r="A21" s="212" t="s">
        <v>201</v>
      </c>
      <c r="B21" s="212"/>
      <c r="C21" s="213" t="s">
        <v>202</v>
      </c>
      <c r="D21" s="214">
        <v>69796</v>
      </c>
      <c r="E21" s="214">
        <v>2162</v>
      </c>
      <c r="F21" s="215">
        <f>D21+E21</f>
        <v>71958</v>
      </c>
      <c r="G21" s="215">
        <f>ROUND(F21*$J$2,0)</f>
        <v>14823</v>
      </c>
      <c r="H21" s="181">
        <f>IF(F21&gt;$N$5,$P$5*(F21-$N$5)+$P$4*($N$5-$N$4)+$P$3*($N$4-$N$1),IF($N$5&gt;F21&gt;$N$4,$P$4*(F21-$N$4)+$P$3*($N$4-$N$1),0))</f>
        <v>8738.9880000000012</v>
      </c>
      <c r="I21" s="216">
        <f>F21/100*0.5</f>
        <v>359.79</v>
      </c>
      <c r="J21" s="215">
        <f>G21+H21+I21</f>
        <v>23921.778000000002</v>
      </c>
      <c r="K21" s="215">
        <f>J21+F21</f>
        <v>95879.778</v>
      </c>
      <c r="L21" s="215">
        <f>K21/$L$14</f>
        <v>7989.9815000000008</v>
      </c>
      <c r="M21" s="217">
        <f>K21/$M$14</f>
        <v>2179.0858636363637</v>
      </c>
      <c r="N21" s="217">
        <f>K21/$N$14</f>
        <v>435.81717272727275</v>
      </c>
      <c r="O21" s="217">
        <f>K21/$O$14</f>
        <v>58.108956363636366</v>
      </c>
    </row>
    <row r="22" spans="1:15">
      <c r="A22" s="212"/>
      <c r="B22" s="212"/>
      <c r="C22" s="213" t="s">
        <v>203</v>
      </c>
      <c r="D22" s="214">
        <v>73479</v>
      </c>
      <c r="E22" s="214">
        <v>2162</v>
      </c>
      <c r="F22" s="215">
        <f>D22+E22</f>
        <v>75641</v>
      </c>
      <c r="G22" s="215">
        <f>ROUND(F22*$J$2,0)</f>
        <v>15582</v>
      </c>
      <c r="H22" s="181">
        <f>IF(F22&gt;$N$5,$P$5*(F22-$N$5)+$P$4*($N$5-$N$4)+$P$3*($N$4-$N$1),IF($N$5&gt;F22&gt;$N$4,$P$4*(F22-$N$4)+$P$3*($N$4-$N$1),0))</f>
        <v>9247.242</v>
      </c>
      <c r="I22" s="216">
        <f>F22/100*0.5</f>
        <v>378.205</v>
      </c>
      <c r="J22" s="215">
        <f>G22+H22+I22</f>
        <v>25207.447</v>
      </c>
      <c r="K22" s="215">
        <f>J22+F22</f>
        <v>100848.447</v>
      </c>
      <c r="L22" s="215">
        <f>K22/$L$14</f>
        <v>8404.03725</v>
      </c>
      <c r="M22" s="217">
        <f>K22/$M$14</f>
        <v>2292.0101590909089</v>
      </c>
      <c r="N22" s="217">
        <f>K22/$N$14</f>
        <v>458.4020318181818</v>
      </c>
      <c r="O22" s="217">
        <f>K22/$O$14</f>
        <v>61.120270909090912</v>
      </c>
    </row>
    <row r="23" spans="1:15">
      <c r="A23" s="212"/>
      <c r="B23" s="212"/>
      <c r="C23" s="213"/>
      <c r="D23" s="214"/>
      <c r="E23" s="214"/>
      <c r="F23" s="215"/>
      <c r="G23" s="215"/>
      <c r="H23" s="181"/>
      <c r="I23" s="216"/>
      <c r="J23" s="215"/>
      <c r="K23" s="215"/>
      <c r="L23" s="215"/>
      <c r="M23" s="217"/>
      <c r="N23" s="217"/>
      <c r="O23" s="217"/>
    </row>
    <row r="24" spans="1:15">
      <c r="A24" s="212" t="s">
        <v>207</v>
      </c>
      <c r="B24" s="212" t="s">
        <v>208</v>
      </c>
      <c r="C24" s="213" t="s">
        <v>200</v>
      </c>
      <c r="D24" s="214">
        <v>32569</v>
      </c>
      <c r="E24" s="214">
        <v>2162</v>
      </c>
      <c r="F24" s="215">
        <f>D24+E24</f>
        <v>34731</v>
      </c>
      <c r="G24" s="215">
        <f>ROUND(F24*$J$2,0)</f>
        <v>7155</v>
      </c>
      <c r="H24" s="181">
        <f>IF(F24&gt;$N$5,$P$5*(F24-$N$5)+$P$4*($N$5-$N$4)+$P$3*($N$4-$N$1),IF($N$5&gt;F24&gt;$N$4,$P$4*(F24-$N$4)+$P$3*($N$4-$N$1),0))</f>
        <v>3601.6620000000003</v>
      </c>
      <c r="I24" s="216">
        <f>F24/100*0.5</f>
        <v>173.655</v>
      </c>
      <c r="J24" s="215">
        <f>G24+H24+I24</f>
        <v>10930.317000000001</v>
      </c>
      <c r="K24" s="215">
        <f>J24+F24</f>
        <v>45661.317</v>
      </c>
      <c r="L24" s="215">
        <f>K24/$L$14</f>
        <v>3805.10975</v>
      </c>
      <c r="M24" s="217">
        <f>K24/$M$14</f>
        <v>1037.7572045454547</v>
      </c>
      <c r="N24" s="217">
        <f>K24/$N$14</f>
        <v>207.55144090909093</v>
      </c>
      <c r="O24" s="217">
        <f>K24/$O$14</f>
        <v>27.673525454545455</v>
      </c>
    </row>
    <row r="25" spans="1:15" customHeight="1">
      <c r="A25" s="212" t="s">
        <v>209</v>
      </c>
      <c r="B25" s="212"/>
      <c r="C25" s="213" t="s">
        <v>202</v>
      </c>
      <c r="D25" s="214">
        <v>34182</v>
      </c>
      <c r="E25" s="214">
        <v>2162</v>
      </c>
      <c r="F25" s="215">
        <f>D25+E25</f>
        <v>36344</v>
      </c>
      <c r="G25" s="215">
        <f>ROUND(F25*$J$2,0)</f>
        <v>7487</v>
      </c>
      <c r="H25" s="181">
        <f>IF(F25&gt;$N$5,$P$5*(F25-$N$5)+$P$4*($N$5-$N$4)+$P$3*($N$4-$N$1),IF($N$5&gt;F25&gt;$N$4,$P$4*(F25-$N$4)+$P$3*($N$4-$N$1),0))</f>
        <v>3824.2560000000003</v>
      </c>
      <c r="I25" s="216">
        <f>F25/100*0.5</f>
        <v>181.72</v>
      </c>
      <c r="J25" s="215">
        <f>G25+H25+I25</f>
        <v>11492.976</v>
      </c>
      <c r="K25" s="215">
        <f>J25+F25</f>
        <v>47836.976</v>
      </c>
      <c r="L25" s="215">
        <f>K25/$L$14</f>
        <v>3986.414666666667</v>
      </c>
      <c r="M25" s="217">
        <f>K25/$M$14</f>
        <v>1087.204</v>
      </c>
      <c r="N25" s="217">
        <f>K25/$N$14</f>
        <v>217.44080000000002</v>
      </c>
      <c r="O25" s="217">
        <f>K25/$O$14</f>
        <v>28.992106666666668</v>
      </c>
    </row>
    <row r="26" spans="1:15">
      <c r="A26" s="212"/>
      <c r="B26" s="212"/>
      <c r="C26" s="213" t="s">
        <v>203</v>
      </c>
      <c r="D26" s="214">
        <v>35795</v>
      </c>
      <c r="E26" s="214">
        <v>2162</v>
      </c>
      <c r="F26" s="215">
        <f>D26+E26</f>
        <v>37957</v>
      </c>
      <c r="G26" s="215">
        <f>ROUND(F26*$J$2,0)</f>
        <v>7819</v>
      </c>
      <c r="H26" s="181">
        <f>IF(F26&gt;$N$5,$P$5*(F26-$N$5)+$P$4*($N$5-$N$4)+$P$3*($N$4-$N$1),IF($N$5&gt;F26&gt;$N$4,$P$4*(F26-$N$4)+$P$3*($N$4-$N$1),0))</f>
        <v>4046.8500000000004</v>
      </c>
      <c r="I26" s="216">
        <f>F26/100*0.5</f>
        <v>189.785</v>
      </c>
      <c r="J26" s="215">
        <f>G26+H26+I26</f>
        <v>12055.635</v>
      </c>
      <c r="K26" s="215">
        <f>J26+F26</f>
        <v>50012.635</v>
      </c>
      <c r="L26" s="215">
        <f>K26/$L$14</f>
        <v>4167.7195833333335</v>
      </c>
      <c r="M26" s="217">
        <f>K26/$M$14</f>
        <v>1136.6507954545455</v>
      </c>
      <c r="N26" s="217">
        <f>K26/$N$14</f>
        <v>227.33015909090909</v>
      </c>
      <c r="O26" s="217">
        <f>K26/$O$14</f>
        <v>30.310687878787881</v>
      </c>
    </row>
    <row r="27" spans="1:15">
      <c r="A27" s="212"/>
      <c r="B27" s="212"/>
      <c r="C27" s="213" t="s">
        <v>204</v>
      </c>
      <c r="D27" s="214">
        <v>37408</v>
      </c>
      <c r="E27" s="214">
        <v>2162</v>
      </c>
      <c r="F27" s="215">
        <f>D27+E27</f>
        <v>39570</v>
      </c>
      <c r="G27" s="215">
        <f>ROUND(F27*$J$2,0)</f>
        <v>8151</v>
      </c>
      <c r="H27" s="181">
        <f>IF(F27&gt;$N$5,$P$5*(F27-$N$5)+$P$4*($N$5-$N$4)+$P$3*($N$4-$N$1),IF($N$5&gt;F27&gt;$N$4,$P$4*(F27-$N$4)+$P$3*($N$4-$N$1),0))</f>
        <v>4269.444</v>
      </c>
      <c r="I27" s="216">
        <f>F27/100*0.5</f>
        <v>197.85</v>
      </c>
      <c r="J27" s="215">
        <f>G27+H27+I27</f>
        <v>12618.294</v>
      </c>
      <c r="K27" s="215">
        <f>J27+F27</f>
        <v>52188.294</v>
      </c>
      <c r="L27" s="215">
        <f>K27/$L$14</f>
        <v>4349.0245</v>
      </c>
      <c r="M27" s="217">
        <f>K27/$M$14</f>
        <v>1186.097590909091</v>
      </c>
      <c r="N27" s="217">
        <f>K27/$N$14</f>
        <v>237.21951818181819</v>
      </c>
      <c r="O27" s="217">
        <f>K27/$O$14</f>
        <v>31.629269090909091</v>
      </c>
    </row>
    <row r="28" spans="1:15">
      <c r="A28" s="212"/>
      <c r="B28" s="212"/>
      <c r="C28" s="213" t="s">
        <v>210</v>
      </c>
      <c r="D28" s="214">
        <v>39354</v>
      </c>
      <c r="E28" s="214">
        <v>2162</v>
      </c>
      <c r="F28" s="215">
        <f>D28+E28</f>
        <v>41516</v>
      </c>
      <c r="G28" s="215">
        <f>ROUND(F28*$J$2,0)</f>
        <v>8552</v>
      </c>
      <c r="H28" s="181">
        <f>IF(F28&gt;$N$5,$P$5*(F28-$N$5)+$P$4*($N$5-$N$4)+$P$3*($N$4-$N$1),IF($N$5&gt;F28&gt;$N$4,$P$4*(F28-$N$4)+$P$3*($N$4-$N$1),0))</f>
        <v>4537.992</v>
      </c>
      <c r="I28" s="216">
        <f>F28/100*0.5</f>
        <v>207.58</v>
      </c>
      <c r="J28" s="215">
        <f>G28+H28+I28</f>
        <v>13297.572</v>
      </c>
      <c r="K28" s="215">
        <f>J28+F28</f>
        <v>54813.572</v>
      </c>
      <c r="L28" s="215">
        <f>K28/$L$14</f>
        <v>4567.7976666666664</v>
      </c>
      <c r="M28" s="217">
        <f>K28/$M$14</f>
        <v>1245.763</v>
      </c>
      <c r="N28" s="217">
        <f>K28/$N$14</f>
        <v>249.1526</v>
      </c>
      <c r="O28" s="217">
        <f>K28/$O$14</f>
        <v>33.220346666666664</v>
      </c>
    </row>
    <row r="29" spans="1:15">
      <c r="A29" s="212"/>
      <c r="B29" s="212"/>
      <c r="C29" s="213" t="s">
        <v>211</v>
      </c>
      <c r="D29" s="214">
        <v>41300</v>
      </c>
      <c r="E29" s="214">
        <v>2162</v>
      </c>
      <c r="F29" s="215">
        <f>D29+E29</f>
        <v>43462</v>
      </c>
      <c r="G29" s="215">
        <f>ROUND(F29*$J$2,0)</f>
        <v>8953</v>
      </c>
      <c r="H29" s="181">
        <f>IF(F29&gt;$N$5,$P$5*(F29-$N$5)+$P$4*($N$5-$N$4)+$P$3*($N$4-$N$1),IF($N$5&gt;F29&gt;$N$4,$P$4*(F29-$N$4)+$P$3*($N$4-$N$1),0))</f>
        <v>4806.54</v>
      </c>
      <c r="I29" s="216">
        <f>F29/100*0.5</f>
        <v>217.31</v>
      </c>
      <c r="J29" s="215">
        <f>G29+H29+I29</f>
        <v>13976.85</v>
      </c>
      <c r="K29" s="215">
        <f>J29+F29</f>
        <v>57438.85</v>
      </c>
      <c r="L29" s="215">
        <f>K29/$L$14</f>
        <v>4786.5708333333332</v>
      </c>
      <c r="M29" s="217">
        <f>K29/$M$14</f>
        <v>1305.4284090909091</v>
      </c>
      <c r="N29" s="217">
        <f>K29/$N$14</f>
        <v>261.0856818181818</v>
      </c>
      <c r="O29" s="217">
        <f>K29/$O$14</f>
        <v>34.811424242424245</v>
      </c>
    </row>
    <row r="30" spans="1:15">
      <c r="A30" s="212"/>
      <c r="B30" s="212"/>
      <c r="C30" s="213" t="s">
        <v>212</v>
      </c>
      <c r="D30" s="214">
        <v>43247</v>
      </c>
      <c r="E30" s="214">
        <v>2162</v>
      </c>
      <c r="F30" s="215">
        <f>D30+E30</f>
        <v>45409</v>
      </c>
      <c r="G30" s="215">
        <f>ROUND(F30*$J$2,0)</f>
        <v>9354</v>
      </c>
      <c r="H30" s="181">
        <f>IF(F30&gt;$N$5,$P$5*(F30-$N$5)+$P$4*($N$5-$N$4)+$P$3*($N$4-$N$1),IF($N$5&gt;F30&gt;$N$4,$P$4*(F30-$N$4)+$P$3*($N$4-$N$1),0))</f>
        <v>5075.2260000000006</v>
      </c>
      <c r="I30" s="216">
        <f>F30/100*0.5</f>
        <v>227.045</v>
      </c>
      <c r="J30" s="215">
        <f>G30+H30+I30</f>
        <v>14656.271</v>
      </c>
      <c r="K30" s="215">
        <f>J30+F30</f>
        <v>60065.271</v>
      </c>
      <c r="L30" s="215">
        <f>K30/$L$14</f>
        <v>5005.43925</v>
      </c>
      <c r="M30" s="217">
        <f>K30/$M$14</f>
        <v>1365.1197954545455</v>
      </c>
      <c r="N30" s="217">
        <f>K30/$N$14</f>
        <v>273.0239590909091</v>
      </c>
      <c r="O30" s="217">
        <f>K30/$O$14</f>
        <v>36.403194545454546</v>
      </c>
    </row>
    <row r="31" spans="1:15">
      <c r="A31" s="212"/>
      <c r="B31" s="212"/>
      <c r="C31" s="213" t="s">
        <v>213</v>
      </c>
      <c r="D31" s="214">
        <v>45193</v>
      </c>
      <c r="E31" s="214">
        <v>2162</v>
      </c>
      <c r="F31" s="215">
        <f>D31+E31</f>
        <v>47355</v>
      </c>
      <c r="G31" s="215">
        <f>ROUND(F31*$J$2,0)</f>
        <v>9755</v>
      </c>
      <c r="H31" s="181">
        <f>IF(F31&gt;$N$5,$P$5*(F31-$N$5)+$P$4*($N$5-$N$4)+$P$3*($N$4-$N$1),IF($N$5&gt;F31&gt;$N$4,$P$4*(F31-$N$4)+$P$3*($N$4-$N$1),0))</f>
        <v>5343.774</v>
      </c>
      <c r="I31" s="216">
        <f>F31/100*0.5</f>
        <v>236.775</v>
      </c>
      <c r="J31" s="215">
        <f>G31+H31+I31</f>
        <v>15335.549</v>
      </c>
      <c r="K31" s="215">
        <f>J31+F31</f>
        <v>62690.549</v>
      </c>
      <c r="L31" s="215">
        <f>K31/$L$14</f>
        <v>5224.2124166666663</v>
      </c>
      <c r="M31" s="217">
        <f>K31/$M$14</f>
        <v>1424.7852045454545</v>
      </c>
      <c r="N31" s="217">
        <f>K31/$N$14</f>
        <v>284.95704090909089</v>
      </c>
      <c r="O31" s="217">
        <f>K31/$O$14</f>
        <v>37.99427212121212</v>
      </c>
    </row>
    <row r="32" spans="1:15">
      <c r="A32" s="212"/>
      <c r="B32" s="212"/>
      <c r="C32" s="213" t="s">
        <v>214</v>
      </c>
      <c r="D32" s="214">
        <v>47139</v>
      </c>
      <c r="E32" s="214">
        <v>2162</v>
      </c>
      <c r="F32" s="215">
        <f>D32+E32</f>
        <v>49301</v>
      </c>
      <c r="G32" s="215">
        <f>ROUND(F32*$J$2,0)</f>
        <v>10156</v>
      </c>
      <c r="H32" s="181">
        <f>IF(F32&gt;$N$5,$P$5*(F32-$N$5)+$P$4*($N$5-$N$4)+$P$3*($N$4-$N$1),IF($N$5&gt;F32&gt;$N$4,$P$4*(F32-$N$4)+$P$3*($N$4-$N$1),0))</f>
        <v>5612.322</v>
      </c>
      <c r="I32" s="216">
        <f>F32/100*0.5</f>
        <v>246.505</v>
      </c>
      <c r="J32" s="215">
        <f>G32+H32+I32</f>
        <v>16014.827</v>
      </c>
      <c r="K32" s="215">
        <f>J32+F32</f>
        <v>65315.827</v>
      </c>
      <c r="L32" s="215">
        <f>K32/$L$14</f>
        <v>5442.9855833333331</v>
      </c>
      <c r="M32" s="217">
        <f>K32/$M$14</f>
        <v>1484.4506136363636</v>
      </c>
      <c r="N32" s="217">
        <f>K32/$N$14</f>
        <v>296.89012272727274</v>
      </c>
      <c r="O32" s="217">
        <f>K32/$O$14</f>
        <v>39.585349696969693</v>
      </c>
    </row>
    <row r="33" spans="1:15">
      <c r="A33" s="212"/>
      <c r="B33" s="212"/>
      <c r="C33" s="219" t="s">
        <v>215</v>
      </c>
      <c r="D33" s="214">
        <v>52200</v>
      </c>
      <c r="E33" s="214">
        <v>2162</v>
      </c>
      <c r="F33" s="215">
        <f>D33+E33</f>
        <v>54362</v>
      </c>
      <c r="G33" s="215">
        <f>ROUND(F33*$J$2,0)</f>
        <v>11199</v>
      </c>
      <c r="H33" s="181">
        <f>IF(F33&gt;$N$5,$P$5*(F33-$N$5)+$P$4*($N$5-$N$4)+$P$3*($N$4-$N$1),IF($N$5&gt;F33&gt;$N$4,$P$4*(F33-$N$4)+$P$3*($N$4-$N$1),0))</f>
        <v>6310.7400000000007</v>
      </c>
      <c r="I33" s="216">
        <f>F33/100*0.5</f>
        <v>271.81</v>
      </c>
      <c r="J33" s="215">
        <f>G33+H33+I33</f>
        <v>17781.550000000003</v>
      </c>
      <c r="K33" s="215">
        <f>J33+F33</f>
        <v>72143.55</v>
      </c>
      <c r="L33" s="215">
        <f>K33/$L$14</f>
        <v>6011.9625000000005</v>
      </c>
      <c r="M33" s="217">
        <f>K33/$M$14</f>
        <v>1639.6261363636365</v>
      </c>
      <c r="N33" s="217">
        <f>K33/$N$14</f>
        <v>327.92522727272728</v>
      </c>
      <c r="O33" s="217">
        <f>K33/$O$14</f>
        <v>43.723363636363636</v>
      </c>
    </row>
    <row r="34" spans="1:15">
      <c r="A34" s="212"/>
      <c r="B34" s="212"/>
      <c r="C34" s="220" t="s">
        <v>216</v>
      </c>
      <c r="D34" s="214">
        <v>56394</v>
      </c>
      <c r="E34" s="214">
        <v>2162</v>
      </c>
      <c r="F34" s="215">
        <f>D34+E34</f>
        <v>58556</v>
      </c>
      <c r="G34" s="215">
        <f>ROUND(F34*$J$2,0)</f>
        <v>12063</v>
      </c>
      <c r="H34" s="181">
        <f>IF(F34&gt;$N$5,$P$5*(F34-$N$5)+$P$4*($N$5-$N$4)+$P$3*($N$4-$N$1),IF($N$5&gt;F34&gt;$N$4,$P$4*(F34-$N$4)+$P$3*($N$4-$N$1),0))</f>
        <v>6889.5120000000006</v>
      </c>
      <c r="I34" s="216">
        <f>F34/100*0.5</f>
        <v>292.78</v>
      </c>
      <c r="J34" s="215">
        <f>G34+H34+I34</f>
        <v>19245.292</v>
      </c>
      <c r="K34" s="215">
        <f>J34+F34</f>
        <v>77801.292</v>
      </c>
      <c r="L34" s="215">
        <f>K34/$L$14</f>
        <v>6483.441</v>
      </c>
      <c r="M34" s="217">
        <f>K34/$M$14</f>
        <v>1768.2111818181818</v>
      </c>
      <c r="N34" s="217">
        <f>K34/$N$14</f>
        <v>353.64223636363636</v>
      </c>
      <c r="O34" s="217">
        <f>K34/$O$14</f>
        <v>47.152298181818182</v>
      </c>
    </row>
    <row r="35" spans="1:15">
      <c r="A35" s="212"/>
      <c r="B35" s="212"/>
      <c r="C35" s="213"/>
      <c r="D35" s="214"/>
      <c r="E35" s="214"/>
      <c r="F35" s="215"/>
      <c r="G35" s="215"/>
      <c r="H35" s="181"/>
      <c r="I35" s="216"/>
      <c r="J35" s="215"/>
      <c r="K35" s="215"/>
      <c r="L35" s="215"/>
      <c r="M35" s="217"/>
      <c r="N35" s="217"/>
      <c r="O35" s="217"/>
    </row>
    <row r="36" spans="1:15">
      <c r="A36" s="212" t="s">
        <v>217</v>
      </c>
      <c r="B36" s="212" t="s">
        <v>208</v>
      </c>
      <c r="C36" s="213">
        <v>13</v>
      </c>
      <c r="D36" s="214">
        <v>52200</v>
      </c>
      <c r="E36" s="214">
        <v>2162</v>
      </c>
      <c r="F36" s="215">
        <f>D36+E36</f>
        <v>54362</v>
      </c>
      <c r="G36" s="215">
        <f>ROUND(F36*$J$2,0)</f>
        <v>11199</v>
      </c>
      <c r="H36" s="181">
        <f>IF(F36&gt;$N$5,$P$5*(F36-$N$5)+$P$4*($N$5-$N$4)+$P$3*($N$4-$N$1),IF($N$5&gt;F36&gt;$N$4,$P$4*(F36-$N$4)+$P$3*($N$4-$N$1),0))</f>
        <v>6310.7400000000007</v>
      </c>
      <c r="I36" s="216">
        <f>F36/100*0.5</f>
        <v>271.81</v>
      </c>
      <c r="J36" s="215">
        <f>G36+H36+I36</f>
        <v>17781.550000000003</v>
      </c>
      <c r="K36" s="215">
        <f>J36+F36</f>
        <v>72143.55</v>
      </c>
      <c r="L36" s="215">
        <f>K36/$L$14</f>
        <v>6011.9625000000005</v>
      </c>
      <c r="M36" s="217">
        <f>K36/$M$14</f>
        <v>1639.6261363636365</v>
      </c>
      <c r="N36" s="217">
        <f>K36/$N$14</f>
        <v>327.92522727272728</v>
      </c>
      <c r="O36" s="217">
        <f>K36/$O$14</f>
        <v>43.723363636363636</v>
      </c>
    </row>
    <row r="37" spans="1:15">
      <c r="A37" s="212"/>
      <c r="B37" s="212"/>
      <c r="C37" s="213">
        <v>14</v>
      </c>
      <c r="D37" s="214">
        <v>56394</v>
      </c>
      <c r="E37" s="214">
        <v>2162</v>
      </c>
      <c r="F37" s="215">
        <f>D37+E37</f>
        <v>58556</v>
      </c>
      <c r="G37" s="215">
        <f>ROUND(F37*$J$2,0)</f>
        <v>12063</v>
      </c>
      <c r="H37" s="181">
        <f>IF(F37&gt;$N$5,$P$5*(F37-$N$5)+$P$4*($N$5-$N$4)+$P$3*($N$4-$N$1),IF($N$5&gt;F37&gt;$N$4,$P$4*(F37-$N$4)+$P$3*($N$4-$N$1),0))</f>
        <v>6889.5120000000006</v>
      </c>
      <c r="I37" s="216">
        <f>F37/100*0.5</f>
        <v>292.78</v>
      </c>
      <c r="J37" s="215">
        <f>G37+H37+I37</f>
        <v>19245.292</v>
      </c>
      <c r="K37" s="215">
        <f>J37+F37</f>
        <v>77801.292</v>
      </c>
      <c r="L37" s="215">
        <f>K37/$L$14</f>
        <v>6483.441</v>
      </c>
      <c r="M37" s="217">
        <f>K37/$M$14</f>
        <v>1768.2111818181818</v>
      </c>
      <c r="N37" s="217">
        <f>K37/$N$14</f>
        <v>353.64223636363636</v>
      </c>
      <c r="O37" s="217">
        <f>K37/$O$14</f>
        <v>47.152298181818182</v>
      </c>
    </row>
    <row r="38" spans="1:15">
      <c r="A38" s="212"/>
      <c r="B38" s="212"/>
      <c r="C38" s="213">
        <v>15</v>
      </c>
      <c r="D38" s="214">
        <v>60589</v>
      </c>
      <c r="E38" s="214">
        <v>2162</v>
      </c>
      <c r="F38" s="215">
        <f>D38+E38</f>
        <v>62751</v>
      </c>
      <c r="G38" s="215">
        <f>ROUND(F38*$J$2,0)</f>
        <v>12927</v>
      </c>
      <c r="H38" s="181">
        <f>IF(F38&gt;$N$5,$P$5*(F38-$N$5)+$P$4*($N$5-$N$4)+$P$3*($N$4-$N$1),IF($N$5&gt;F38&gt;$N$4,$P$4*(F38-$N$4)+$P$3*($N$4-$N$1),0))</f>
        <v>7468.4220000000005</v>
      </c>
      <c r="I38" s="216">
        <f>F38/100*0.5</f>
        <v>313.755</v>
      </c>
      <c r="J38" s="215">
        <f>G38+H38+I38</f>
        <v>20709.177</v>
      </c>
      <c r="K38" s="215">
        <f>J38+F38</f>
        <v>83460.177</v>
      </c>
      <c r="L38" s="215">
        <f>K38/$L$14</f>
        <v>6955.0147499999994</v>
      </c>
      <c r="M38" s="217">
        <f>K38/$M$14</f>
        <v>1896.8222045454545</v>
      </c>
      <c r="N38" s="217">
        <f>K38/$N$14</f>
        <v>379.36444090909089</v>
      </c>
      <c r="O38" s="217">
        <f>K38/$O$14</f>
        <v>50.581925454545456</v>
      </c>
    </row>
    <row r="39" spans="1:15">
      <c r="A39" s="212"/>
      <c r="B39" s="212"/>
      <c r="C39" s="213">
        <v>16</v>
      </c>
      <c r="D39" s="214">
        <v>64789</v>
      </c>
      <c r="E39" s="214">
        <v>2162</v>
      </c>
      <c r="F39" s="215">
        <f>D39+E39</f>
        <v>66951</v>
      </c>
      <c r="G39" s="215">
        <f>ROUND(F39*$J$2,0)</f>
        <v>13792</v>
      </c>
      <c r="H39" s="181">
        <f>IF(F39&gt;$N$5,$P$5*(F39-$N$5)+$P$4*($N$5-$N$4)+$P$3*($N$4-$N$1),IF($N$5&gt;F39&gt;$N$4,$P$4*(F39-$N$4)+$P$3*($N$4-$N$1),0))</f>
        <v>8048.0220000000008</v>
      </c>
      <c r="I39" s="216">
        <f>F39/100*0.5</f>
        <v>334.755</v>
      </c>
      <c r="J39" s="215">
        <f>G39+H39+I39</f>
        <v>22174.777000000002</v>
      </c>
      <c r="K39" s="215">
        <f>J39+F39</f>
        <v>89125.777</v>
      </c>
      <c r="L39" s="215">
        <f>K39/$L$14</f>
        <v>7427.1480833333335</v>
      </c>
      <c r="M39" s="217">
        <f>K39/$M$14</f>
        <v>2025.5858409090908</v>
      </c>
      <c r="N39" s="217">
        <f>K39/$N$14</f>
        <v>405.11716818181822</v>
      </c>
      <c r="O39" s="217">
        <f>K39/$O$14</f>
        <v>54.015622424242423</v>
      </c>
    </row>
    <row r="40" spans="1:15">
      <c r="A40" s="212"/>
      <c r="B40" s="212"/>
      <c r="C40" s="213">
        <v>17</v>
      </c>
      <c r="D40" s="214">
        <v>70140</v>
      </c>
      <c r="E40" s="214">
        <v>2162</v>
      </c>
      <c r="F40" s="215">
        <f>D40+E40</f>
        <v>72302</v>
      </c>
      <c r="G40" s="215">
        <f>ROUND(F40*$J$2,0)</f>
        <v>14894</v>
      </c>
      <c r="H40" s="181">
        <f>IF(F40&gt;$N$5,$P$5*(F40-$N$5)+$P$4*($N$5-$N$4)+$P$3*($N$4-$N$1),IF($N$5&gt;F40&gt;$N$4,$P$4*(F40-$N$4)+$P$3*($N$4-$N$1),0))</f>
        <v>8786.4600000000009</v>
      </c>
      <c r="I40" s="216">
        <f>F40/100*0.5</f>
        <v>361.51</v>
      </c>
      <c r="J40" s="215">
        <f>G40+H40+I40</f>
        <v>24041.969999999998</v>
      </c>
      <c r="K40" s="215">
        <f>J40+F40</f>
        <v>96343.97</v>
      </c>
      <c r="L40" s="215">
        <f>K40/$L$14</f>
        <v>8028.6641666666665</v>
      </c>
      <c r="M40" s="217">
        <f>K40/$M$14</f>
        <v>2189.6356818181816</v>
      </c>
      <c r="N40" s="217">
        <f>K40/$N$14</f>
        <v>437.92713636363635</v>
      </c>
      <c r="O40" s="217">
        <f>K40/$O$14</f>
        <v>58.390284848484846</v>
      </c>
    </row>
    <row r="41" spans="1:15">
      <c r="A41" s="212"/>
      <c r="B41" s="212"/>
      <c r="C41" s="213">
        <v>18</v>
      </c>
      <c r="D41" s="214">
        <v>73841</v>
      </c>
      <c r="E41" s="214">
        <v>2162</v>
      </c>
      <c r="F41" s="215">
        <f>D41+E41</f>
        <v>76003</v>
      </c>
      <c r="G41" s="215">
        <f>ROUND(F41*$J$2,0)</f>
        <v>15657</v>
      </c>
      <c r="H41" s="181">
        <f>IF(F41&gt;$N$5,$P$5*(F41-$N$5)+$P$4*($N$5-$N$4)+$P$3*($N$4-$N$1),IF($N$5&gt;F41&gt;$N$4,$P$4*(F41-$N$4)+$P$3*($N$4-$N$1),0))</f>
        <v>9297.198</v>
      </c>
      <c r="I41" s="216">
        <f>F41/100*0.5</f>
        <v>380.015</v>
      </c>
      <c r="J41" s="215">
        <f>G41+H41+I41</f>
        <v>25334.213</v>
      </c>
      <c r="K41" s="215">
        <f>J41+F41</f>
        <v>101337.213</v>
      </c>
      <c r="L41" s="215">
        <f>K41/$L$14</f>
        <v>8444.76775</v>
      </c>
      <c r="M41" s="217">
        <f>K41/$M$14</f>
        <v>2303.1184772727274</v>
      </c>
      <c r="N41" s="217">
        <f>K41/$N$14</f>
        <v>460.6236954545455</v>
      </c>
      <c r="O41" s="217">
        <f>K41/$O$14</f>
        <v>61.416492727272733</v>
      </c>
    </row>
    <row r="42" spans="1:15">
      <c r="A42" s="212"/>
      <c r="B42" s="212"/>
      <c r="C42" s="213"/>
      <c r="D42" s="221"/>
      <c r="E42" s="221"/>
      <c r="F42" s="215"/>
      <c r="G42" s="215"/>
      <c r="H42" s="181"/>
      <c r="I42" s="216"/>
      <c r="J42" s="215"/>
      <c r="K42" s="215"/>
      <c r="L42" s="215"/>
      <c r="M42" s="217"/>
      <c r="N42" s="217"/>
      <c r="O42" s="217"/>
    </row>
    <row r="43" spans="1:15">
      <c r="A43" s="212" t="s">
        <v>218</v>
      </c>
      <c r="B43" s="212" t="s">
        <v>219</v>
      </c>
      <c r="C43" s="213" t="s">
        <v>200</v>
      </c>
      <c r="D43" s="221">
        <v>33127</v>
      </c>
      <c r="E43" s="221">
        <v>2162</v>
      </c>
      <c r="F43" s="215">
        <f>D43+E43</f>
        <v>35289</v>
      </c>
      <c r="G43" s="215">
        <f>ROUND(F43*$J$2,0)</f>
        <v>7270</v>
      </c>
      <c r="H43" s="181">
        <f>IF(F43&gt;$N$5,$P$5*(F43-$N$5)+$P$4*($N$5-$N$4)+$P$3*($N$4-$N$1),IF($N$5&gt;F43&gt;$N$4,$P$4*(F43-$N$4)+$P$3*($N$4-$N$1),0))</f>
        <v>3678.666</v>
      </c>
      <c r="I43" s="216">
        <f>F43/100*0.5</f>
        <v>176.445</v>
      </c>
      <c r="J43" s="215">
        <f>G43+H43+I43</f>
        <v>11125.111</v>
      </c>
      <c r="K43" s="215">
        <f>J43+F43</f>
        <v>46414.111000000004</v>
      </c>
      <c r="L43" s="215">
        <f>K43/$L$14</f>
        <v>3867.8425833333336</v>
      </c>
      <c r="M43" s="217">
        <f>K43/$M$14</f>
        <v>1054.8661590909092</v>
      </c>
      <c r="N43" s="217">
        <f>K43/$N$14</f>
        <v>210.97323181818183</v>
      </c>
      <c r="O43" s="217">
        <f>K43/$O$14</f>
        <v>28.129764242424244</v>
      </c>
    </row>
    <row r="44" spans="1:15">
      <c r="A44" s="212" t="s">
        <v>209</v>
      </c>
      <c r="B44" s="212"/>
      <c r="C44" s="213" t="s">
        <v>202</v>
      </c>
      <c r="D44" s="214">
        <v>35795</v>
      </c>
      <c r="E44" s="214">
        <v>2162</v>
      </c>
      <c r="F44" s="215">
        <f>D44+E44</f>
        <v>37957</v>
      </c>
      <c r="G44" s="215">
        <f>ROUND(F44*$J$2,0)</f>
        <v>7819</v>
      </c>
      <c r="H44" s="181">
        <f>IF(F44&gt;$N$5,$P$5*(F44-$N$5)+$P$4*($N$5-$N$4)+$P$3*($N$4-$N$1),IF($N$5&gt;F44&gt;$N$4,$P$4*(F44-$N$4)+$P$3*($N$4-$N$1),0))</f>
        <v>4046.8500000000004</v>
      </c>
      <c r="I44" s="216">
        <f>F44/100*0.5</f>
        <v>189.785</v>
      </c>
      <c r="J44" s="215">
        <f>G44+H44+I44</f>
        <v>12055.635</v>
      </c>
      <c r="K44" s="215">
        <f>J44+F44</f>
        <v>50012.635</v>
      </c>
      <c r="L44" s="215">
        <f>K44/$L$14</f>
        <v>4167.7195833333335</v>
      </c>
      <c r="M44" s="217">
        <f>K44/$M$14</f>
        <v>1136.6507954545455</v>
      </c>
      <c r="N44" s="217">
        <f>K44/$N$14</f>
        <v>227.33015909090909</v>
      </c>
      <c r="O44" s="217">
        <f>K44/$O$14</f>
        <v>30.310687878787881</v>
      </c>
    </row>
    <row r="45" spans="1:15">
      <c r="A45" s="212"/>
      <c r="B45" s="212"/>
      <c r="C45" s="213" t="s">
        <v>203</v>
      </c>
      <c r="D45" s="214">
        <v>37408</v>
      </c>
      <c r="E45" s="214">
        <v>2162</v>
      </c>
      <c r="F45" s="215">
        <f>D45+E45</f>
        <v>39570</v>
      </c>
      <c r="G45" s="215">
        <f>ROUND(F45*$J$2,0)</f>
        <v>8151</v>
      </c>
      <c r="H45" s="181">
        <f>IF(F45&gt;$N$5,$P$5*(F45-$N$5)+$P$4*($N$5-$N$4)+$P$3*($N$4-$N$1),IF($N$5&gt;F45&gt;$N$4,$P$4*(F45-$N$4)+$P$3*($N$4-$N$1),0))</f>
        <v>4269.444</v>
      </c>
      <c r="I45" s="216">
        <f>F45/100*0.5</f>
        <v>197.85</v>
      </c>
      <c r="J45" s="215">
        <f>G45+H45+I45</f>
        <v>12618.294</v>
      </c>
      <c r="K45" s="215">
        <f>J45+F45</f>
        <v>52188.294</v>
      </c>
      <c r="L45" s="215">
        <f>K45/$L$14</f>
        <v>4349.0245</v>
      </c>
      <c r="M45" s="217">
        <f>K45/$M$14</f>
        <v>1186.097590909091</v>
      </c>
      <c r="N45" s="217">
        <f>K45/$N$14</f>
        <v>237.21951818181819</v>
      </c>
      <c r="O45" s="217">
        <f>K45/$O$14</f>
        <v>31.629269090909091</v>
      </c>
    </row>
    <row r="46" spans="1:15">
      <c r="A46" s="212"/>
      <c r="B46" s="212"/>
      <c r="C46" s="213" t="s">
        <v>204</v>
      </c>
      <c r="D46" s="214">
        <v>39354</v>
      </c>
      <c r="E46" s="214">
        <v>2162</v>
      </c>
      <c r="F46" s="215">
        <f>D46+E46</f>
        <v>41516</v>
      </c>
      <c r="G46" s="215">
        <f>ROUND(F46*$J$2,0)</f>
        <v>8552</v>
      </c>
      <c r="H46" s="181">
        <f>IF(F46&gt;$N$5,$P$5*(F46-$N$5)+$P$4*($N$5-$N$4)+$P$3*($N$4-$N$1),IF($N$5&gt;F46&gt;$N$4,$P$4*(F46-$N$4)+$P$3*($N$4-$N$1),0))</f>
        <v>4537.992</v>
      </c>
      <c r="I46" s="216">
        <f>F46/100*0.5</f>
        <v>207.58</v>
      </c>
      <c r="J46" s="215">
        <f>G46+H46+I46</f>
        <v>13297.572</v>
      </c>
      <c r="K46" s="215">
        <f>J46+F46</f>
        <v>54813.572</v>
      </c>
      <c r="L46" s="215">
        <f>K46/$L$14</f>
        <v>4567.7976666666664</v>
      </c>
      <c r="M46" s="217">
        <f>K46/$M$14</f>
        <v>1245.763</v>
      </c>
      <c r="N46" s="217">
        <f>K46/$N$14</f>
        <v>249.1526</v>
      </c>
      <c r="O46" s="217">
        <f>K46/$O$14</f>
        <v>33.220346666666664</v>
      </c>
    </row>
    <row r="47" spans="1:15">
      <c r="A47" s="212"/>
      <c r="B47" s="212"/>
      <c r="C47" s="213" t="s">
        <v>210</v>
      </c>
      <c r="D47" s="214">
        <v>41300</v>
      </c>
      <c r="E47" s="214">
        <v>2162</v>
      </c>
      <c r="F47" s="215">
        <f>D47+E47</f>
        <v>43462</v>
      </c>
      <c r="G47" s="215">
        <f>ROUND(F47*$J$2,0)</f>
        <v>8953</v>
      </c>
      <c r="H47" s="181">
        <f>IF(F47&gt;$N$5,$P$5*(F47-$N$5)+$P$4*($N$5-$N$4)+$P$3*($N$4-$N$1),IF($N$5&gt;F47&gt;$N$4,$P$4*(F47-$N$4)+$P$3*($N$4-$N$1),0))</f>
        <v>4806.54</v>
      </c>
      <c r="I47" s="216">
        <f>F47/100*0.5</f>
        <v>217.31</v>
      </c>
      <c r="J47" s="215">
        <f>G47+H47+I47</f>
        <v>13976.85</v>
      </c>
      <c r="K47" s="215">
        <f>J47+F47</f>
        <v>57438.85</v>
      </c>
      <c r="L47" s="215">
        <f>K47/$L$14</f>
        <v>4786.5708333333332</v>
      </c>
      <c r="M47" s="217">
        <f>K47/$M$14</f>
        <v>1305.4284090909091</v>
      </c>
      <c r="N47" s="217">
        <f>K47/$N$14</f>
        <v>261.0856818181818</v>
      </c>
      <c r="O47" s="217">
        <f>K47/$O$14</f>
        <v>34.811424242424245</v>
      </c>
    </row>
    <row r="48" spans="1:15">
      <c r="A48" s="212"/>
      <c r="B48" s="212"/>
      <c r="C48" s="213" t="s">
        <v>211</v>
      </c>
      <c r="D48" s="214">
        <v>43247</v>
      </c>
      <c r="E48" s="214">
        <v>2162</v>
      </c>
      <c r="F48" s="215">
        <f>D48+E48</f>
        <v>45409</v>
      </c>
      <c r="G48" s="215">
        <f>ROUND(F48*$J$2,0)</f>
        <v>9354</v>
      </c>
      <c r="H48" s="181">
        <f>IF(F48&gt;$N$5,$P$5*(F48-$N$5)+$P$4*($N$5-$N$4)+$P$3*($N$4-$N$1),IF($N$5&gt;F48&gt;$N$4,$P$4*(F48-$N$4)+$P$3*($N$4-$N$1),0))</f>
        <v>5075.2260000000006</v>
      </c>
      <c r="I48" s="216">
        <f>F48/100*0.5</f>
        <v>227.045</v>
      </c>
      <c r="J48" s="215">
        <f>G48+H48+I48</f>
        <v>14656.271</v>
      </c>
      <c r="K48" s="215">
        <f>J48+F48</f>
        <v>60065.271</v>
      </c>
      <c r="L48" s="215">
        <f>K48/$L$14</f>
        <v>5005.43925</v>
      </c>
      <c r="M48" s="217">
        <f>K48/$M$14</f>
        <v>1365.1197954545455</v>
      </c>
      <c r="N48" s="217">
        <f>K48/$N$14</f>
        <v>273.0239590909091</v>
      </c>
      <c r="O48" s="217">
        <f>K48/$O$14</f>
        <v>36.403194545454546</v>
      </c>
    </row>
    <row r="49" spans="1:15">
      <c r="A49" s="212"/>
      <c r="B49" s="212"/>
      <c r="C49" s="213" t="s">
        <v>212</v>
      </c>
      <c r="D49" s="214">
        <v>45193</v>
      </c>
      <c r="E49" s="214">
        <v>2162</v>
      </c>
      <c r="F49" s="215">
        <f>D49+E49</f>
        <v>47355</v>
      </c>
      <c r="G49" s="215">
        <f>ROUND(F49*$J$2,0)</f>
        <v>9755</v>
      </c>
      <c r="H49" s="181">
        <f>IF(F49&gt;$N$5,$P$5*(F49-$N$5)+$P$4*($N$5-$N$4)+$P$3*($N$4-$N$1),IF($N$5&gt;F49&gt;$N$4,$P$4*(F49-$N$4)+$P$3*($N$4-$N$1),0))</f>
        <v>5343.774</v>
      </c>
      <c r="I49" s="216">
        <f>F49/100*0.5</f>
        <v>236.775</v>
      </c>
      <c r="J49" s="215">
        <f>G49+H49+I49</f>
        <v>15335.549</v>
      </c>
      <c r="K49" s="215">
        <f>J49+F49</f>
        <v>62690.549</v>
      </c>
      <c r="L49" s="215">
        <f>K49/$L$14</f>
        <v>5224.2124166666663</v>
      </c>
      <c r="M49" s="217">
        <f>K49/$M$14</f>
        <v>1424.7852045454545</v>
      </c>
      <c r="N49" s="217">
        <f>K49/$N$14</f>
        <v>284.95704090909089</v>
      </c>
      <c r="O49" s="217">
        <f>K49/$O$14</f>
        <v>37.99427212121212</v>
      </c>
    </row>
    <row r="50" spans="1:15">
      <c r="A50" s="212"/>
      <c r="B50" s="212"/>
      <c r="C50" s="213" t="s">
        <v>213</v>
      </c>
      <c r="D50" s="214">
        <v>47139</v>
      </c>
      <c r="E50" s="214">
        <v>2162</v>
      </c>
      <c r="F50" s="215">
        <f>D50+E50</f>
        <v>49301</v>
      </c>
      <c r="G50" s="215">
        <f>ROUND(F50*$J$2,0)</f>
        <v>10156</v>
      </c>
      <c r="H50" s="181">
        <f>IF(F50&gt;$N$5,$P$5*(F50-$N$5)+$P$4*($N$5-$N$4)+$P$3*($N$4-$N$1),IF($N$5&gt;F50&gt;$N$4,$P$4*(F50-$N$4)+$P$3*($N$4-$N$1),0))</f>
        <v>5612.322</v>
      </c>
      <c r="I50" s="216">
        <f>F50/100*0.5</f>
        <v>246.505</v>
      </c>
      <c r="J50" s="215">
        <f>G50+H50+I50</f>
        <v>16014.827</v>
      </c>
      <c r="K50" s="215">
        <f>J50+F50</f>
        <v>65315.827</v>
      </c>
      <c r="L50" s="215">
        <f>K50/$L$14</f>
        <v>5442.9855833333331</v>
      </c>
      <c r="M50" s="217">
        <f>K50/$M$14</f>
        <v>1484.4506136363636</v>
      </c>
      <c r="N50" s="217">
        <f>K50/$N$14</f>
        <v>296.89012272727274</v>
      </c>
      <c r="O50" s="217">
        <f>K50/$O$14</f>
        <v>39.585349696969693</v>
      </c>
    </row>
    <row r="51" spans="1:15">
      <c r="A51" s="212"/>
      <c r="B51" s="212"/>
      <c r="C51" s="213" t="s">
        <v>214</v>
      </c>
      <c r="D51" s="214">
        <v>49086</v>
      </c>
      <c r="E51" s="214">
        <v>2162</v>
      </c>
      <c r="F51" s="215">
        <f>D51+E51</f>
        <v>51248</v>
      </c>
      <c r="G51" s="215">
        <f>ROUND(F51*$J$2,0)</f>
        <v>10557</v>
      </c>
      <c r="H51" s="181">
        <f>IF(F51&gt;$N$5,$P$5*(F51-$N$5)+$P$4*($N$5-$N$4)+$P$3*($N$4-$N$1),IF($N$5&gt;F51&gt;$N$4,$P$4*(F51-$N$4)+$P$3*($N$4-$N$1),0))</f>
        <v>5881.0080000000007</v>
      </c>
      <c r="I51" s="216">
        <f>F51/100*0.5</f>
        <v>256.24</v>
      </c>
      <c r="J51" s="215">
        <f>G51+H51+I51</f>
        <v>16694.248000000003</v>
      </c>
      <c r="K51" s="215">
        <f>J51+F51</f>
        <v>67942.248</v>
      </c>
      <c r="L51" s="215">
        <f>K51/$L$14</f>
        <v>5661.854</v>
      </c>
      <c r="M51" s="217">
        <f>K51/$M$14</f>
        <v>1544.142</v>
      </c>
      <c r="N51" s="217">
        <f>K51/$N$14</f>
        <v>308.82840000000004</v>
      </c>
      <c r="O51" s="217">
        <f>K51/$O$14</f>
        <v>41.17712</v>
      </c>
    </row>
    <row r="52" spans="1:15">
      <c r="A52" s="212"/>
      <c r="B52" s="212"/>
      <c r="C52" s="219" t="s">
        <v>220</v>
      </c>
      <c r="D52" s="214">
        <v>54232</v>
      </c>
      <c r="E52" s="214">
        <v>2162</v>
      </c>
      <c r="F52" s="215">
        <f>D52+E52</f>
        <v>56394</v>
      </c>
      <c r="G52" s="215">
        <f>ROUND(F52*$J$2,0)</f>
        <v>11617</v>
      </c>
      <c r="H52" s="181">
        <f>IF(F52&gt;$N$5,$P$5*(F52-$N$5)+$P$4*($N$5-$N$4)+$P$3*($N$4-$N$1),IF($N$5&gt;F52&gt;$N$4,$P$4*(F52-$N$4)+$P$3*($N$4-$N$1),0))</f>
        <v>6591.1560000000009</v>
      </c>
      <c r="I52" s="216">
        <f>F52/100*0.5</f>
        <v>281.97</v>
      </c>
      <c r="J52" s="215">
        <f>G52+H52+I52</f>
        <v>18490.126000000004</v>
      </c>
      <c r="K52" s="215">
        <f>J52+F52</f>
        <v>74884.126</v>
      </c>
      <c r="L52" s="215">
        <f>K52/$L$14</f>
        <v>6240.3438333333334</v>
      </c>
      <c r="M52" s="217">
        <f>K52/$M$14</f>
        <v>1701.9119545454546</v>
      </c>
      <c r="N52" s="217">
        <f>K52/$N$14</f>
        <v>340.38239090909093</v>
      </c>
      <c r="O52" s="217">
        <f>K52/$O$14</f>
        <v>45.38431878787879</v>
      </c>
    </row>
    <row r="53" spans="1:15">
      <c r="A53" s="212"/>
      <c r="B53" s="212"/>
      <c r="C53" s="220" t="s">
        <v>221</v>
      </c>
      <c r="D53" s="214">
        <v>58593</v>
      </c>
      <c r="E53" s="214">
        <v>2162</v>
      </c>
      <c r="F53" s="215">
        <f>D53+E53</f>
        <v>60755</v>
      </c>
      <c r="G53" s="215">
        <f>ROUND(F53*$J$2,0)</f>
        <v>12516</v>
      </c>
      <c r="H53" s="181">
        <f>IF(F53&gt;$N$5,$P$5*(F53-$N$5)+$P$4*($N$5-$N$4)+$P$3*($N$4-$N$1),IF($N$5&gt;F53&gt;$N$4,$P$4*(F53-$N$4)+$P$3*($N$4-$N$1),0))</f>
        <v>7192.974</v>
      </c>
      <c r="I53" s="216">
        <f>F53/100*0.5</f>
        <v>303.775</v>
      </c>
      <c r="J53" s="215">
        <f>G53+H53+I53</f>
        <v>20012.749000000003</v>
      </c>
      <c r="K53" s="215">
        <f>J53+F53</f>
        <v>80767.749000000011</v>
      </c>
      <c r="L53" s="215">
        <f>K53/$L$14</f>
        <v>6730.6457500000006</v>
      </c>
      <c r="M53" s="217">
        <f>K53/$M$14</f>
        <v>1835.6306590909094</v>
      </c>
      <c r="N53" s="217">
        <f>K53/$N$14</f>
        <v>367.12613181818188</v>
      </c>
      <c r="O53" s="217">
        <f>K53/$O$14</f>
        <v>48.950150909090915</v>
      </c>
    </row>
    <row r="54" spans="1:15">
      <c r="A54" s="212"/>
      <c r="B54" s="212"/>
      <c r="C54" s="213"/>
      <c r="D54" s="214"/>
      <c r="E54" s="214"/>
      <c r="F54" s="215"/>
      <c r="G54" s="215"/>
      <c r="H54" s="181"/>
      <c r="I54" s="216"/>
      <c r="J54" s="215"/>
      <c r="K54" s="215"/>
      <c r="L54" s="215"/>
      <c r="M54" s="217"/>
      <c r="N54" s="217"/>
      <c r="O54" s="217"/>
    </row>
    <row r="55" spans="1:15">
      <c r="A55" s="212" t="s">
        <v>222</v>
      </c>
      <c r="B55" s="212" t="s">
        <v>219</v>
      </c>
      <c r="C55" s="213">
        <v>13</v>
      </c>
      <c r="D55" s="214">
        <v>52200</v>
      </c>
      <c r="E55" s="214">
        <v>2162</v>
      </c>
      <c r="F55" s="215">
        <f>D55+E55</f>
        <v>54362</v>
      </c>
      <c r="G55" s="215">
        <f>ROUND(F55*$J$2,0)</f>
        <v>11199</v>
      </c>
      <c r="H55" s="181">
        <f>IF(F55&gt;$N$5,$P$5*(F55-$N$5)+$P$4*($N$5-$N$4)+$P$3*($N$4-$N$1),IF($N$5&gt;F55&gt;$N$4,$P$4*(F55-$N$4)+$P$3*($N$4-$N$1),0))</f>
        <v>6310.7400000000007</v>
      </c>
      <c r="I55" s="216">
        <f>F55/100*0.5</f>
        <v>271.81</v>
      </c>
      <c r="J55" s="215">
        <f>G55+H55+I55</f>
        <v>17781.550000000003</v>
      </c>
      <c r="K55" s="215">
        <f>J55+F55</f>
        <v>72143.55</v>
      </c>
      <c r="L55" s="215">
        <f>K55/$L$14</f>
        <v>6011.9625000000005</v>
      </c>
      <c r="M55" s="217">
        <f>K55/$M$14</f>
        <v>1639.6261363636365</v>
      </c>
      <c r="N55" s="217">
        <f>K55/$N$14</f>
        <v>327.92522727272728</v>
      </c>
      <c r="O55" s="217">
        <f>K55/$O$14</f>
        <v>43.723363636363636</v>
      </c>
    </row>
    <row r="56" spans="1:15">
      <c r="A56" s="212"/>
      <c r="B56" s="212"/>
      <c r="C56" s="213">
        <v>14</v>
      </c>
      <c r="D56" s="214">
        <v>56394</v>
      </c>
      <c r="E56" s="214">
        <v>2162</v>
      </c>
      <c r="F56" s="215">
        <f>D56+E56</f>
        <v>58556</v>
      </c>
      <c r="G56" s="215">
        <f>ROUND(F56*$J$2,0)</f>
        <v>12063</v>
      </c>
      <c r="H56" s="181">
        <f>IF(F56&gt;$N$5,$P$5*(F56-$N$5)+$P$4*($N$5-$N$4)+$P$3*($N$4-$N$1),IF($N$5&gt;F56&gt;$N$4,$P$4*(F56-$N$4)+$P$3*($N$4-$N$1),0))</f>
        <v>6889.5120000000006</v>
      </c>
      <c r="I56" s="216">
        <f>F56/100*0.5</f>
        <v>292.78</v>
      </c>
      <c r="J56" s="215">
        <f>G56+H56+I56</f>
        <v>19245.292</v>
      </c>
      <c r="K56" s="215">
        <f>J56+F56</f>
        <v>77801.292</v>
      </c>
      <c r="L56" s="215">
        <f>K56/$L$14</f>
        <v>6483.441</v>
      </c>
      <c r="M56" s="217">
        <f>K56/$M$14</f>
        <v>1768.2111818181818</v>
      </c>
      <c r="N56" s="217">
        <f>K56/$N$14</f>
        <v>353.64223636363636</v>
      </c>
      <c r="O56" s="217">
        <f>K56/$O$14</f>
        <v>47.152298181818182</v>
      </c>
    </row>
    <row r="57" spans="1:15">
      <c r="A57" s="212"/>
      <c r="B57" s="212"/>
      <c r="C57" s="213">
        <v>15</v>
      </c>
      <c r="D57" s="214">
        <v>60589</v>
      </c>
      <c r="E57" s="214">
        <v>2162</v>
      </c>
      <c r="F57" s="215">
        <f>D57+E57</f>
        <v>62751</v>
      </c>
      <c r="G57" s="215">
        <f>ROUND(F57*$J$2,0)</f>
        <v>12927</v>
      </c>
      <c r="H57" s="181">
        <f>IF(F57&gt;$N$5,$P$5*(F57-$N$5)+$P$4*($N$5-$N$4)+$P$3*($N$4-$N$1),IF($N$5&gt;F57&gt;$N$4,$P$4*(F57-$N$4)+$P$3*($N$4-$N$1),0))</f>
        <v>7468.4220000000005</v>
      </c>
      <c r="I57" s="216">
        <f>F57/100*0.5</f>
        <v>313.755</v>
      </c>
      <c r="J57" s="215">
        <f>G57+H57+I57</f>
        <v>20709.177</v>
      </c>
      <c r="K57" s="215">
        <f>J57+F57</f>
        <v>83460.177</v>
      </c>
      <c r="L57" s="215">
        <f>K57/$L$14</f>
        <v>6955.0147499999994</v>
      </c>
      <c r="M57" s="217">
        <f>K57/$M$14</f>
        <v>1896.8222045454545</v>
      </c>
      <c r="N57" s="217">
        <f>K57/$N$14</f>
        <v>379.36444090909089</v>
      </c>
      <c r="O57" s="217">
        <f>K57/$O$14</f>
        <v>50.581925454545456</v>
      </c>
    </row>
    <row r="58" spans="1:15">
      <c r="A58" s="212"/>
      <c r="B58" s="212"/>
      <c r="C58" s="213">
        <v>16</v>
      </c>
      <c r="D58" s="214">
        <v>64789</v>
      </c>
      <c r="E58" s="214">
        <v>2162</v>
      </c>
      <c r="F58" s="215">
        <f>D58+E58</f>
        <v>66951</v>
      </c>
      <c r="G58" s="215">
        <f>ROUND(F58*$J$2,0)</f>
        <v>13792</v>
      </c>
      <c r="H58" s="181">
        <f>IF(F58&gt;$N$5,$P$5*(F58-$N$5)+$P$4*($N$5-$N$4)+$P$3*($N$4-$N$1),IF($N$5&gt;F58&gt;$N$4,$P$4*(F58-$N$4)+$P$3*($N$4-$N$1),0))</f>
        <v>8048.0220000000008</v>
      </c>
      <c r="I58" s="216">
        <f>F58/100*0.5</f>
        <v>334.755</v>
      </c>
      <c r="J58" s="215">
        <f>G58+H58+I58</f>
        <v>22174.777000000002</v>
      </c>
      <c r="K58" s="215">
        <f>J58+F58</f>
        <v>89125.777</v>
      </c>
      <c r="L58" s="215">
        <f>K58/$L$14</f>
        <v>7427.1480833333335</v>
      </c>
      <c r="M58" s="217">
        <f>K58/$M$14</f>
        <v>2025.5858409090908</v>
      </c>
      <c r="N58" s="217">
        <f>K58/$N$14</f>
        <v>405.11716818181822</v>
      </c>
      <c r="O58" s="217">
        <f>K58/$O$14</f>
        <v>54.015622424242423</v>
      </c>
    </row>
    <row r="59" spans="1:15">
      <c r="A59" s="212"/>
      <c r="B59" s="212"/>
      <c r="C59" s="213">
        <v>17</v>
      </c>
      <c r="D59" s="214">
        <v>70140</v>
      </c>
      <c r="E59" s="214">
        <v>2162</v>
      </c>
      <c r="F59" s="215">
        <f>D59+E59</f>
        <v>72302</v>
      </c>
      <c r="G59" s="215">
        <f>ROUND(F59*$J$2,0)</f>
        <v>14894</v>
      </c>
      <c r="H59" s="181">
        <f>IF(F59&gt;$N$5,$P$5*(F59-$N$5)+$P$4*($N$5-$N$4)+$P$3*($N$4-$N$1),IF($N$5&gt;F59&gt;$N$4,$P$4*(F59-$N$4)+$P$3*($N$4-$N$1),0))</f>
        <v>8786.4600000000009</v>
      </c>
      <c r="I59" s="216">
        <f>F59/100*0.5</f>
        <v>361.51</v>
      </c>
      <c r="J59" s="215">
        <f>G59+H59+I59</f>
        <v>24041.969999999998</v>
      </c>
      <c r="K59" s="215">
        <f>J59+F59</f>
        <v>96343.97</v>
      </c>
      <c r="L59" s="215">
        <f>K59/$L$14</f>
        <v>8028.6641666666665</v>
      </c>
      <c r="M59" s="217">
        <f>K59/$M$14</f>
        <v>2189.6356818181816</v>
      </c>
      <c r="N59" s="217">
        <f>K59/$N$14</f>
        <v>437.92713636363635</v>
      </c>
      <c r="O59" s="217">
        <f>K59/$O$14</f>
        <v>58.390284848484846</v>
      </c>
    </row>
    <row r="60" spans="1:15">
      <c r="A60" s="206"/>
      <c r="B60" s="206"/>
      <c r="C60" s="213">
        <v>18</v>
      </c>
      <c r="D60" s="214">
        <v>73841</v>
      </c>
      <c r="E60" s="214">
        <v>2162</v>
      </c>
      <c r="F60" s="215">
        <f>D60+E60</f>
        <v>76003</v>
      </c>
      <c r="G60" s="215">
        <f>ROUND(F60*$J$2,0)</f>
        <v>15657</v>
      </c>
      <c r="H60" s="181">
        <f>IF(F60&gt;$N$5,$P$5*(F60-$N$5)+$P$4*($N$5-$N$4)+$P$3*($N$4-$N$1),IF($N$5&gt;F60&gt;$N$4,$P$4*(F60-$N$4)+$P$3*($N$4-$N$1),0))</f>
        <v>9297.198</v>
      </c>
      <c r="I60" s="216">
        <f>F60/100*0.5</f>
        <v>380.015</v>
      </c>
      <c r="J60" s="215">
        <f>G60+H60+I60</f>
        <v>25334.213</v>
      </c>
      <c r="K60" s="215">
        <f>J60+F60</f>
        <v>101337.213</v>
      </c>
      <c r="L60" s="215">
        <f>K60/$L$14</f>
        <v>8444.76775</v>
      </c>
      <c r="M60" s="217">
        <f>K60/$M$14</f>
        <v>2303.1184772727274</v>
      </c>
      <c r="N60" s="217">
        <f>K60/$N$14</f>
        <v>460.6236954545455</v>
      </c>
      <c r="O60" s="217">
        <f>K60/$O$14</f>
        <v>61.416492727272733</v>
      </c>
    </row>
    <row r="61" spans="1:15">
      <c r="A61" s="206"/>
      <c r="B61" s="206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</row>
    <row r="62" spans="1:15" ht="25.5">
      <c r="A62" s="212" t="s">
        <v>223</v>
      </c>
      <c r="B62" s="212" t="s">
        <v>208</v>
      </c>
      <c r="C62" s="222">
        <v>19</v>
      </c>
      <c r="D62" s="214">
        <v>64689</v>
      </c>
      <c r="E62" s="214">
        <v>2162</v>
      </c>
      <c r="F62" s="223">
        <f>D62+E62</f>
        <v>66851</v>
      </c>
      <c r="G62" s="223">
        <f>ROUND(F62*$J$2,0)</f>
        <v>13771</v>
      </c>
      <c r="H62" s="181">
        <f>IF(F62&gt;$N$5,$P$5*(F62-$N$5)+$P$4*($N$5-$N$4)+$P$3*($N$4-$N$1),IF($N$5&gt;F62&gt;$N$4,$P$4*(F62-$N$4)+$P$3*($N$4-$N$1),0))</f>
        <v>8034.2220000000007</v>
      </c>
      <c r="I62" s="181">
        <f>F62/100*0.5</f>
        <v>334.255</v>
      </c>
      <c r="J62" s="223">
        <f>G62+H62+I62</f>
        <v>22139.477000000003</v>
      </c>
      <c r="K62" s="223">
        <f>J62+F62</f>
        <v>88990.477</v>
      </c>
      <c r="L62" s="223">
        <f>K62/$L$14</f>
        <v>7415.8730833333329</v>
      </c>
      <c r="M62" s="224">
        <f>K62/$M$14</f>
        <v>2022.5108409090908</v>
      </c>
      <c r="N62" s="224">
        <f>K62/$N$14</f>
        <v>404.50216818181815</v>
      </c>
      <c r="O62" s="224">
        <f>K62/$O$14</f>
        <v>53.933622424242422</v>
      </c>
    </row>
    <row r="63" spans="1:15">
      <c r="A63" s="206"/>
      <c r="B63" s="206"/>
      <c r="C63" s="222">
        <v>20</v>
      </c>
      <c r="D63" s="214">
        <v>69318</v>
      </c>
      <c r="E63" s="214">
        <v>2162</v>
      </c>
      <c r="F63" s="223">
        <f>D63+E63</f>
        <v>71480</v>
      </c>
      <c r="G63" s="223">
        <f>ROUND(F63*$J$2,0)</f>
        <v>14725</v>
      </c>
      <c r="H63" s="181">
        <f>IF(F63&gt;$N$5,$P$5*(F63-$N$5)+$P$4*($N$5-$N$4)+$P$3*($N$4-$N$1),IF($N$5&gt;F63&gt;$N$4,$P$4*(F63-$N$4)+$P$3*($N$4-$N$1),0))</f>
        <v>8673.0240000000013</v>
      </c>
      <c r="I63" s="181">
        <f>F63/100*0.5</f>
        <v>357.4</v>
      </c>
      <c r="J63" s="223">
        <f>G63+H63+I63</f>
        <v>23755.424000000003</v>
      </c>
      <c r="K63" s="223">
        <f>J63+F63</f>
        <v>95235.424</v>
      </c>
      <c r="L63" s="223">
        <f>K63/$L$14</f>
        <v>7936.2853333333333</v>
      </c>
      <c r="M63" s="224">
        <f>K63/$M$14</f>
        <v>2164.4414545454547</v>
      </c>
      <c r="N63" s="224">
        <f>K63/$N$14</f>
        <v>432.88829090909093</v>
      </c>
      <c r="O63" s="224">
        <f>K63/$O$14</f>
        <v>57.718438787878789</v>
      </c>
    </row>
    <row r="64" spans="1:15">
      <c r="A64" s="206"/>
      <c r="B64" s="206"/>
      <c r="C64" s="225">
        <v>21</v>
      </c>
      <c r="D64" s="214">
        <v>73948</v>
      </c>
      <c r="E64" s="214">
        <v>2162</v>
      </c>
      <c r="F64" s="223">
        <f>D64+E64</f>
        <v>76110</v>
      </c>
      <c r="G64" s="223">
        <f>ROUND(F64*$J$2,0)</f>
        <v>15679</v>
      </c>
      <c r="H64" s="181">
        <f>IF(F64&gt;$N$5,$P$5*(F64-$N$5)+$P$4*($N$5-$N$4)+$P$3*($N$4-$N$1),IF($N$5&gt;F64&gt;$N$4,$P$4*(F64-$N$4)+$P$3*($N$4-$N$1),0))</f>
        <v>9311.964</v>
      </c>
      <c r="I64" s="181">
        <f>F64/100*0.5</f>
        <v>380.55</v>
      </c>
      <c r="J64" s="223">
        <f>G64+H64+I64</f>
        <v>25371.514</v>
      </c>
      <c r="K64" s="223">
        <f>J64+F64</f>
        <v>101481.514</v>
      </c>
      <c r="L64" s="223">
        <f>K64/$L$14</f>
        <v>8456.792833333333</v>
      </c>
      <c r="M64" s="224">
        <f>K64/$M$14</f>
        <v>2306.3980454545454</v>
      </c>
      <c r="N64" s="224">
        <f>K64/$N$14</f>
        <v>461.27960909090905</v>
      </c>
      <c r="O64" s="224">
        <f>K64/$O$14</f>
        <v>61.503947878787876</v>
      </c>
    </row>
    <row r="65" spans="1:15">
      <c r="A65" s="206"/>
      <c r="B65" s="206"/>
      <c r="C65" s="225">
        <v>22</v>
      </c>
      <c r="D65" s="214">
        <v>78576</v>
      </c>
      <c r="E65" s="214">
        <v>2162</v>
      </c>
      <c r="F65" s="223">
        <f>D65+E65</f>
        <v>80738</v>
      </c>
      <c r="G65" s="223">
        <f>ROUND(F65*$J$2,0)</f>
        <v>16632</v>
      </c>
      <c r="H65" s="181">
        <f>IF(F65&gt;$N$5,$P$5*(F65-$N$5)+$P$4*($N$5-$N$4)+$P$3*($N$4-$N$1),IF($N$5&gt;F65&gt;$N$4,$P$4*(F65-$N$4)+$P$3*($N$4-$N$1),0))</f>
        <v>9950.628</v>
      </c>
      <c r="I65" s="181">
        <f>F65/100*0.5</f>
        <v>403.69</v>
      </c>
      <c r="J65" s="223">
        <f>G65+H65+I65</f>
        <v>26986.318</v>
      </c>
      <c r="K65" s="223">
        <f>J65+F65</f>
        <v>107724.318</v>
      </c>
      <c r="L65" s="223">
        <f>K65/$L$14</f>
        <v>8977.0265</v>
      </c>
      <c r="M65" s="224">
        <f>K65/$M$14</f>
        <v>2448.2799545454545</v>
      </c>
      <c r="N65" s="224">
        <f>K65/$N$14</f>
        <v>489.65599090909092</v>
      </c>
      <c r="O65" s="224">
        <f>K65/$O$14</f>
        <v>65.287465454545455</v>
      </c>
    </row>
    <row r="66" spans="1:15">
      <c r="A66" s="206"/>
      <c r="B66" s="206"/>
      <c r="C66" s="225">
        <v>23</v>
      </c>
      <c r="D66" s="214">
        <v>83855</v>
      </c>
      <c r="E66" s="214">
        <v>2162</v>
      </c>
      <c r="F66" s="223">
        <f>D66+E66</f>
        <v>86017</v>
      </c>
      <c r="G66" s="223">
        <f>ROUND(F66*$J$2,0)</f>
        <v>17720</v>
      </c>
      <c r="H66" s="181">
        <f>IF(F66&gt;$N$5,$P$5*(F66-$N$5)+$P$4*($N$5-$N$4)+$P$3*($N$4-$N$1),IF($N$5&gt;F66&gt;$N$4,$P$4*(F66-$N$4)+$P$3*($N$4-$N$1),0))</f>
        <v>10679.130000000001</v>
      </c>
      <c r="I66" s="181">
        <f>F66/100*0.5</f>
        <v>430.085</v>
      </c>
      <c r="J66" s="223">
        <f>G66+H66+I66</f>
        <v>28829.215</v>
      </c>
      <c r="K66" s="223">
        <f>J66+F66</f>
        <v>114846.215</v>
      </c>
      <c r="L66" s="223">
        <f>K66/$L$14</f>
        <v>9570.5179166666658</v>
      </c>
      <c r="M66" s="224">
        <f>K66/$M$14</f>
        <v>2610.14125</v>
      </c>
      <c r="N66" s="224">
        <f>K66/$N$14</f>
        <v>522.02825</v>
      </c>
      <c r="O66" s="224">
        <f>K66/$O$14</f>
        <v>69.603766666666658</v>
      </c>
    </row>
  </sheetData>
  <mergeCells count="2">
    <mergeCell ref="A10:H10"/>
    <mergeCell ref="G12:J12"/>
  </mergeCells>
  <pageMargins left="0.7" right="0.7" top="0.75" bottom="0.75" header="0.3" footer="0.3"/>
  <headerFooter scaleWithDoc="1" alignWithMargins="0" differentFirst="0" differentOddEven="0"/>
  <extLst/>
</worksheet>
</file>

<file path=xl/worksheets/sheet1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Y51"/>
  <sheetViews>
    <sheetView topLeftCell="A7" view="normal" workbookViewId="0">
      <selection pane="topLeft" activeCell="A1" sqref="A1:XFD10"/>
    </sheetView>
  </sheetViews>
  <sheetFormatPr defaultRowHeight="12.75"/>
  <cols>
    <col min="1" max="1" width="9.125" style="179" customWidth="1"/>
    <col min="2" max="2" width="10.75390625" style="255" customWidth="1"/>
    <col min="3" max="3" width="15.75390625" style="179" bestFit="1" customWidth="1"/>
    <col min="4" max="14" width="10.875" style="179" customWidth="1"/>
    <col min="15" max="15" width="2.375" style="179" customWidth="1"/>
    <col min="16" max="16" width="10.875" style="179" customWidth="1"/>
    <col min="17" max="17" width="14.875" style="179" bestFit="1" customWidth="1"/>
    <col min="18" max="18" width="2.875" style="179" customWidth="1"/>
    <col min="19" max="25" width="10.875" style="179" customWidth="1"/>
    <col min="26" max="16384" width="9.125" style="179" customWidth="1"/>
  </cols>
  <sheetData>
    <row r="1" spans="2:14" hidden="1">
      <c r="B1" s="179"/>
      <c r="I1" s="203"/>
      <c r="J1" s="226"/>
      <c r="K1" s="180" t="s">
        <v>168</v>
      </c>
      <c r="L1" s="181">
        <v>6136</v>
      </c>
      <c r="M1" s="182" t="s">
        <v>169</v>
      </c>
      <c r="N1" s="183"/>
    </row>
    <row r="2" spans="2:25" ht="15" hidden="1">
      <c r="B2" s="179"/>
      <c r="I2" s="203"/>
      <c r="J2" s="226"/>
      <c r="K2" s="180" t="s">
        <v>170</v>
      </c>
      <c r="L2" s="181">
        <v>50000</v>
      </c>
      <c r="M2" s="185"/>
      <c r="N2" s="186"/>
      <c r="V2" s="227"/>
      <c r="W2" s="227"/>
      <c r="X2" s="227"/>
      <c r="Y2" s="227"/>
    </row>
    <row r="3" spans="2:25" ht="15" hidden="1">
      <c r="B3" s="179"/>
      <c r="I3" s="203"/>
      <c r="J3" s="226"/>
      <c r="K3" s="180" t="s">
        <v>171</v>
      </c>
      <c r="L3" s="181">
        <v>8632</v>
      </c>
      <c r="M3" s="185" t="s">
        <v>172</v>
      </c>
      <c r="N3" s="187">
        <v>0</v>
      </c>
      <c r="V3" s="227"/>
      <c r="W3" s="227"/>
      <c r="X3" s="227"/>
      <c r="Y3" s="227"/>
    </row>
    <row r="4" spans="2:25" ht="15" hidden="1">
      <c r="B4" s="179"/>
      <c r="I4" s="203"/>
      <c r="J4" s="226"/>
      <c r="K4" s="188" t="s">
        <v>174</v>
      </c>
      <c r="L4" s="189">
        <v>8632</v>
      </c>
      <c r="M4" s="190" t="s">
        <v>175</v>
      </c>
      <c r="N4" s="191">
        <v>0.138</v>
      </c>
      <c r="V4" s="227"/>
      <c r="W4" s="227"/>
      <c r="X4" s="227"/>
      <c r="Y4" s="227"/>
    </row>
    <row r="5" spans="2:25" ht="15" hidden="1">
      <c r="B5" s="179"/>
      <c r="I5" s="203"/>
      <c r="J5" s="226"/>
      <c r="K5" s="180" t="s">
        <v>176</v>
      </c>
      <c r="L5" s="181">
        <v>50000</v>
      </c>
      <c r="M5" s="192" t="s">
        <v>177</v>
      </c>
      <c r="N5" s="193">
        <v>0.138</v>
      </c>
      <c r="V5" s="227"/>
      <c r="W5" s="227"/>
      <c r="X5" s="227"/>
      <c r="Y5" s="227"/>
    </row>
    <row r="6" spans="2:25" ht="15" hidden="1">
      <c r="B6" s="179"/>
      <c r="I6" s="203"/>
      <c r="J6" s="226"/>
      <c r="K6" s="228"/>
      <c r="L6" s="229"/>
      <c r="M6" s="228"/>
      <c r="N6" s="230"/>
      <c r="V6" s="227"/>
      <c r="W6" s="227"/>
      <c r="X6" s="227"/>
      <c r="Y6" s="227"/>
    </row>
    <row r="7" spans="1:14" s="232" customFormat="1" ht="20.25">
      <c r="A7" s="231" t="s">
        <v>224</v>
      </c>
      <c r="D7" s="233"/>
      <c r="E7" s="233"/>
      <c r="F7" s="233"/>
      <c r="G7" s="233" t="s">
        <v>225</v>
      </c>
      <c r="I7" s="234"/>
      <c r="J7" s="235"/>
      <c r="K7" s="236"/>
      <c r="L7" s="237"/>
      <c r="M7" s="236"/>
      <c r="N7" s="238"/>
    </row>
    <row r="8" spans="1:25" ht="15.75">
      <c r="A8" s="239"/>
      <c r="B8" s="179"/>
      <c r="V8" s="227"/>
      <c r="W8" s="227"/>
      <c r="X8" s="227"/>
      <c r="Y8" s="227"/>
    </row>
    <row r="9" spans="2:25" ht="15.75">
      <c r="B9" s="179"/>
      <c r="C9" s="240" t="s">
        <v>226</v>
      </c>
      <c r="D9" s="240" t="s">
        <v>227</v>
      </c>
      <c r="E9" s="180"/>
      <c r="F9" s="240" t="s">
        <v>228</v>
      </c>
      <c r="G9" s="240" t="s">
        <v>229</v>
      </c>
      <c r="H9" s="240" t="s">
        <v>191</v>
      </c>
      <c r="I9" s="180"/>
      <c r="J9" s="241" t="s">
        <v>230</v>
      </c>
      <c r="K9" s="241" t="s">
        <v>231</v>
      </c>
      <c r="L9" s="241" t="s">
        <v>232</v>
      </c>
      <c r="M9" s="241" t="s">
        <v>233</v>
      </c>
      <c r="N9" s="241" t="s">
        <v>234</v>
      </c>
      <c r="P9" s="241" t="s">
        <v>235</v>
      </c>
      <c r="Q9" s="242" t="s">
        <v>236</v>
      </c>
      <c r="R9" s="243"/>
      <c r="V9" s="227"/>
      <c r="W9" s="227"/>
      <c r="X9" s="227"/>
      <c r="Y9" s="227"/>
    </row>
    <row r="10" spans="1:25" ht="15.75">
      <c r="A10" s="240" t="s">
        <v>237</v>
      </c>
      <c r="B10" s="240" t="s">
        <v>238</v>
      </c>
      <c r="C10" s="240"/>
      <c r="D10" s="240"/>
      <c r="E10" s="240" t="s">
        <v>239</v>
      </c>
      <c r="F10" s="240"/>
      <c r="G10" s="244">
        <v>0.206</v>
      </c>
      <c r="H10" s="244"/>
      <c r="I10" s="245" t="s">
        <v>240</v>
      </c>
      <c r="J10" s="180"/>
      <c r="K10" s="180">
        <v>12</v>
      </c>
      <c r="L10" s="180">
        <v>220</v>
      </c>
      <c r="M10" s="180">
        <v>44</v>
      </c>
      <c r="N10" s="180">
        <v>1650</v>
      </c>
      <c r="P10" s="180"/>
      <c r="Q10" s="180"/>
      <c r="R10" s="228"/>
      <c r="V10" s="227"/>
      <c r="W10" s="227"/>
      <c r="X10" s="227"/>
      <c r="Y10" s="227"/>
    </row>
    <row r="11" spans="1:25" ht="15">
      <c r="A11" s="180">
        <v>1</v>
      </c>
      <c r="B11" s="188">
        <v>1</v>
      </c>
      <c r="C11" s="246">
        <v>77913</v>
      </c>
      <c r="D11" s="246">
        <v>2162</v>
      </c>
      <c r="E11" s="246">
        <f>C11+D11</f>
        <v>80075</v>
      </c>
      <c r="F11" s="181">
        <f>IF(E11&gt;$L$5,$N$5*(E11-$L$5)+$N$4*($L$5-$L$4)+$N$3*($L$4-$L$1),IF($L$5&gt;E11&gt;$L$4,$N$4*(E11-$L$4)+$N$3*($L$4-$L$1),0))</f>
        <v>9859.1340000000018</v>
      </c>
      <c r="G11" s="247">
        <f>E11*$G$10</f>
        <v>16495.45</v>
      </c>
      <c r="H11" s="247">
        <f>E11/100*0.5</f>
        <v>400.375</v>
      </c>
      <c r="I11" s="247">
        <f>F11+G11+H11</f>
        <v>26754.959000000003</v>
      </c>
      <c r="J11" s="246">
        <f>E11+I11</f>
        <v>106829.959</v>
      </c>
      <c r="K11" s="181">
        <f>J11/$K$10</f>
        <v>8902.4965833333335</v>
      </c>
      <c r="L11" s="181">
        <f>J11/$L$10</f>
        <v>485.59072272727275</v>
      </c>
      <c r="M11" s="181">
        <f>J11/$M$10</f>
        <v>2427.9536136363636</v>
      </c>
      <c r="N11" s="181">
        <f>J11/$N$10</f>
        <v>64.7454296969697</v>
      </c>
      <c r="P11" s="181">
        <f>0.1*C11</f>
        <v>7791.3</v>
      </c>
      <c r="Q11" s="181">
        <f>0.1*J11</f>
        <v>10682.995900000002</v>
      </c>
      <c r="R11" s="229"/>
      <c r="V11" s="227"/>
      <c r="W11" s="227"/>
      <c r="X11" s="227"/>
      <c r="Y11" s="227"/>
    </row>
    <row r="12" spans="1:25" ht="15">
      <c r="A12" s="180">
        <v>2</v>
      </c>
      <c r="B12" s="188">
        <v>2</v>
      </c>
      <c r="C12" s="246">
        <v>80352</v>
      </c>
      <c r="D12" s="246">
        <v>2162</v>
      </c>
      <c r="E12" s="246">
        <f>C12+D12</f>
        <v>82514</v>
      </c>
      <c r="F12" s="181">
        <f>IF(E12&gt;$L$5,$N$5*(E12-$L$5)+$N$4*($L$5-$L$4)+$N$3*($L$4-$L$1),IF($L$5&gt;E12&gt;$L$4,$N$4*(E12-$L$4)+$N$3*($L$4-$L$1),0))</f>
        <v>10195.716</v>
      </c>
      <c r="G12" s="247">
        <f>E12*$G$10</f>
        <v>16997.884</v>
      </c>
      <c r="H12" s="247">
        <f>E12/100*0.5</f>
        <v>412.57</v>
      </c>
      <c r="I12" s="247">
        <f>F12+G12+H12</f>
        <v>27606.17</v>
      </c>
      <c r="J12" s="246">
        <f>E12+I12</f>
        <v>110120.17</v>
      </c>
      <c r="K12" s="181">
        <f>J12/$K$10</f>
        <v>9176.6808333333338</v>
      </c>
      <c r="L12" s="181">
        <f>J12/$L$10</f>
        <v>500.54622727272726</v>
      </c>
      <c r="M12" s="181">
        <f>J12/$M$10</f>
        <v>2502.7311363636363</v>
      </c>
      <c r="N12" s="181">
        <f>J12/$N$10</f>
        <v>66.739496969696972</v>
      </c>
      <c r="P12" s="181">
        <f>0.1*C12</f>
        <v>8035.2000000000007</v>
      </c>
      <c r="Q12" s="181">
        <f>0.1*J12</f>
        <v>11012.017</v>
      </c>
      <c r="R12" s="229"/>
      <c r="V12" s="227"/>
      <c r="W12" s="227"/>
      <c r="X12" s="227"/>
      <c r="Y12" s="227"/>
    </row>
    <row r="13" spans="1:25" ht="15">
      <c r="A13" s="180">
        <v>3</v>
      </c>
      <c r="B13" s="188">
        <v>3</v>
      </c>
      <c r="C13" s="246">
        <v>82792</v>
      </c>
      <c r="D13" s="246">
        <v>2162</v>
      </c>
      <c r="E13" s="246">
        <f>C13+D13</f>
        <v>84954</v>
      </c>
      <c r="F13" s="181">
        <f>IF(E13&gt;$L$5,$N$5*(E13-$L$5)+$N$4*($L$5-$L$4)+$N$3*($L$4-$L$1),IF($L$5&gt;E13&gt;$L$4,$N$4*(E13-$L$4)+$N$3*($L$4-$L$1),0))</f>
        <v>10532.436000000002</v>
      </c>
      <c r="G13" s="247">
        <f>E13*$G$10</f>
        <v>17500.523999999998</v>
      </c>
      <c r="H13" s="247">
        <f>E13/100*0.5</f>
        <v>424.77</v>
      </c>
      <c r="I13" s="247">
        <f>F13+G13+H13</f>
        <v>28457.73</v>
      </c>
      <c r="J13" s="246">
        <f>E13+I13</f>
        <v>113411.73</v>
      </c>
      <c r="K13" s="181">
        <f>J13/$K$10</f>
        <v>9450.9774999999991</v>
      </c>
      <c r="L13" s="181">
        <f>J13/$L$10</f>
        <v>515.5078636363636</v>
      </c>
      <c r="M13" s="181">
        <f>J13/$M$10</f>
        <v>2577.5393181818181</v>
      </c>
      <c r="N13" s="181">
        <f>J13/$N$10</f>
        <v>68.734381818181816</v>
      </c>
      <c r="P13" s="181">
        <f>0.1*C13</f>
        <v>8279.2</v>
      </c>
      <c r="Q13" s="181">
        <f>0.1*J13</f>
        <v>11341.173</v>
      </c>
      <c r="R13" s="229"/>
      <c r="V13" s="227"/>
      <c r="W13" s="227"/>
      <c r="X13" s="227"/>
      <c r="Y13" s="227"/>
    </row>
    <row r="14" spans="1:25" ht="15">
      <c r="A14" s="180">
        <v>4</v>
      </c>
      <c r="B14" s="188">
        <v>4</v>
      </c>
      <c r="C14" s="246">
        <v>85232</v>
      </c>
      <c r="D14" s="246">
        <v>2162</v>
      </c>
      <c r="E14" s="246">
        <f>C14+D14</f>
        <v>87394</v>
      </c>
      <c r="F14" s="181">
        <f>IF(E14&gt;$L$5,$N$5*(E14-$L$5)+$N$4*($L$5-$L$4)+$N$3*($L$4-$L$1),IF($L$5&gt;E14&gt;$L$4,$N$4*(E14-$L$4)+$N$3*($L$4-$L$1),0))</f>
        <v>10869.156</v>
      </c>
      <c r="G14" s="247">
        <f>E14*$G$10</f>
        <v>18003.164</v>
      </c>
      <c r="H14" s="247">
        <f>E14/100*0.5</f>
        <v>436.97</v>
      </c>
      <c r="I14" s="247">
        <f>F14+G14+H14</f>
        <v>29309.29</v>
      </c>
      <c r="J14" s="246">
        <f>E14+I14</f>
        <v>116703.29000000001</v>
      </c>
      <c r="K14" s="181">
        <f>J14/$K$10</f>
        <v>9725.274166666668</v>
      </c>
      <c r="L14" s="181">
        <f>J14/$L$10</f>
        <v>530.4695</v>
      </c>
      <c r="M14" s="181">
        <f>J14/$M$10</f>
        <v>2652.3475000000003</v>
      </c>
      <c r="N14" s="181">
        <f>J14/$N$10</f>
        <v>70.729266666666675</v>
      </c>
      <c r="P14" s="181">
        <f>0.1*C14</f>
        <v>8523.2</v>
      </c>
      <c r="Q14" s="181">
        <f>0.1*J14</f>
        <v>11670.329000000002</v>
      </c>
      <c r="R14" s="229"/>
      <c r="V14" s="227"/>
      <c r="W14" s="227"/>
      <c r="X14" s="227"/>
      <c r="Y14" s="227"/>
    </row>
    <row r="15" spans="1:18">
      <c r="A15" s="248">
        <v>5</v>
      </c>
      <c r="B15" s="188">
        <v>5</v>
      </c>
      <c r="C15" s="246">
        <v>87665</v>
      </c>
      <c r="D15" s="246">
        <v>2162</v>
      </c>
      <c r="E15" s="246">
        <f>C15+D15</f>
        <v>89827</v>
      </c>
      <c r="F15" s="181">
        <f>IF(E15&gt;$L$5,$N$5*(E15-$L$5)+$N$4*($L$5-$L$4)+$N$3*($L$4-$L$1),IF($L$5&gt;E15&gt;$L$4,$N$4*(E15-$L$4)+$N$3*($L$4-$L$1),0))</f>
        <v>11204.91</v>
      </c>
      <c r="G15" s="247">
        <f>E15*$G$10</f>
        <v>18504.361999999997</v>
      </c>
      <c r="H15" s="247">
        <f>E15/100*0.5</f>
        <v>449.135</v>
      </c>
      <c r="I15" s="247">
        <f>F15+G15+H15</f>
        <v>30158.406999999996</v>
      </c>
      <c r="J15" s="246">
        <f>E15+I15</f>
        <v>119985.40699999999</v>
      </c>
      <c r="K15" s="181">
        <f>J15/$K$10</f>
        <v>9998.7839166666654</v>
      </c>
      <c r="L15" s="181">
        <f>J15/$L$10</f>
        <v>545.38821363636362</v>
      </c>
      <c r="M15" s="181">
        <f>J15/$M$10</f>
        <v>2726.9410681818181</v>
      </c>
      <c r="N15" s="181">
        <f>J15/$N$10</f>
        <v>72.718428484848474</v>
      </c>
      <c r="P15" s="181">
        <f>0.1*C15</f>
        <v>8766.5</v>
      </c>
      <c r="Q15" s="181">
        <f>0.1*J15</f>
        <v>11998.5407</v>
      </c>
      <c r="R15" s="229"/>
    </row>
    <row r="16" spans="1:18">
      <c r="A16" s="249"/>
      <c r="B16" s="188">
        <v>6</v>
      </c>
      <c r="C16" s="246">
        <v>87665</v>
      </c>
      <c r="D16" s="246">
        <v>2162</v>
      </c>
      <c r="E16" s="246">
        <f>C16+D16</f>
        <v>89827</v>
      </c>
      <c r="F16" s="181">
        <f>IF(E16&gt;$L$5,$N$5*(E16-$L$5)+$N$4*($L$5-$L$4)+$N$3*($L$4-$L$1),IF($L$5&gt;E16&gt;$L$4,$N$4*(E16-$L$4)+$N$3*($L$4-$L$1),0))</f>
        <v>11204.91</v>
      </c>
      <c r="G16" s="247">
        <f>E16*$G$10</f>
        <v>18504.361999999997</v>
      </c>
      <c r="H16" s="247">
        <f>E16/100*0.5</f>
        <v>449.135</v>
      </c>
      <c r="I16" s="247">
        <f>F16+G16+H16</f>
        <v>30158.406999999996</v>
      </c>
      <c r="J16" s="246">
        <f>E16+I16</f>
        <v>119985.40699999999</v>
      </c>
      <c r="K16" s="181">
        <f>J16/$K$10</f>
        <v>9998.7839166666654</v>
      </c>
      <c r="L16" s="181">
        <f>J16/$L$10</f>
        <v>545.38821363636362</v>
      </c>
      <c r="M16" s="181">
        <f>J16/$M$10</f>
        <v>2726.9410681818181</v>
      </c>
      <c r="N16" s="181">
        <f>J16/$N$10</f>
        <v>72.718428484848474</v>
      </c>
      <c r="P16" s="181">
        <f>0.1*C16</f>
        <v>8766.5</v>
      </c>
      <c r="Q16" s="181">
        <f>0.1*J16</f>
        <v>11998.5407</v>
      </c>
      <c r="R16" s="229"/>
    </row>
    <row r="17" spans="1:18">
      <c r="A17" s="249"/>
      <c r="B17" s="188">
        <v>7</v>
      </c>
      <c r="C17" s="246">
        <v>87665</v>
      </c>
      <c r="D17" s="246">
        <v>2162</v>
      </c>
      <c r="E17" s="246">
        <f>C17+D17</f>
        <v>89827</v>
      </c>
      <c r="F17" s="181">
        <f>IF(E17&gt;$L$5,$N$5*(E17-$L$5)+$N$4*($L$5-$L$4)+$N$3*($L$4-$L$1),IF($L$5&gt;E17&gt;$L$4,$N$4*(E17-$L$4)+$N$3*($L$4-$L$1),0))</f>
        <v>11204.91</v>
      </c>
      <c r="G17" s="247">
        <f>E17*$G$10</f>
        <v>18504.361999999997</v>
      </c>
      <c r="H17" s="247">
        <f>E17/100*0.5</f>
        <v>449.135</v>
      </c>
      <c r="I17" s="247">
        <f>F17+G17+H17</f>
        <v>30158.406999999996</v>
      </c>
      <c r="J17" s="246">
        <f>E17+I17</f>
        <v>119985.40699999999</v>
      </c>
      <c r="K17" s="181">
        <f>J17/$K$10</f>
        <v>9998.7839166666654</v>
      </c>
      <c r="L17" s="181">
        <f>J17/$L$10</f>
        <v>545.38821363636362</v>
      </c>
      <c r="M17" s="181">
        <f>J17/$M$10</f>
        <v>2726.9410681818181</v>
      </c>
      <c r="N17" s="181">
        <f>J17/$N$10</f>
        <v>72.718428484848474</v>
      </c>
      <c r="P17" s="181">
        <f>0.1*C17</f>
        <v>8766.5</v>
      </c>
      <c r="Q17" s="181">
        <f>0.1*J17</f>
        <v>11998.5407</v>
      </c>
      <c r="R17" s="229"/>
    </row>
    <row r="18" spans="1:18">
      <c r="A18" s="249"/>
      <c r="B18" s="188">
        <v>8</v>
      </c>
      <c r="C18" s="246">
        <v>87665</v>
      </c>
      <c r="D18" s="246">
        <v>2162</v>
      </c>
      <c r="E18" s="246">
        <f>C18+D18</f>
        <v>89827</v>
      </c>
      <c r="F18" s="181">
        <f>IF(E18&gt;$L$5,$N$5*(E18-$L$5)+$N$4*($L$5-$L$4)+$N$3*($L$4-$L$1),IF($L$5&gt;E18&gt;$L$4,$N$4*(E18-$L$4)+$N$3*($L$4-$L$1),0))</f>
        <v>11204.91</v>
      </c>
      <c r="G18" s="247">
        <f>E18*$G$10</f>
        <v>18504.361999999997</v>
      </c>
      <c r="H18" s="247">
        <f>E18/100*0.5</f>
        <v>449.135</v>
      </c>
      <c r="I18" s="247">
        <f>F18+G18+H18</f>
        <v>30158.406999999996</v>
      </c>
      <c r="J18" s="246">
        <f>E18+I18</f>
        <v>119985.40699999999</v>
      </c>
      <c r="K18" s="181">
        <f>J18/$K$10</f>
        <v>9998.7839166666654</v>
      </c>
      <c r="L18" s="181">
        <f>J18/$L$10</f>
        <v>545.38821363636362</v>
      </c>
      <c r="M18" s="181">
        <f>J18/$M$10</f>
        <v>2726.9410681818181</v>
      </c>
      <c r="N18" s="181">
        <f>J18/$N$10</f>
        <v>72.718428484848474</v>
      </c>
      <c r="P18" s="181">
        <f>0.1*C18</f>
        <v>8766.5</v>
      </c>
      <c r="Q18" s="181">
        <f>0.1*J18</f>
        <v>11998.5407</v>
      </c>
      <c r="R18" s="229"/>
    </row>
    <row r="19" spans="1:18">
      <c r="A19" s="250"/>
      <c r="B19" s="188">
        <v>9</v>
      </c>
      <c r="C19" s="246">
        <v>87665</v>
      </c>
      <c r="D19" s="246">
        <v>2162</v>
      </c>
      <c r="E19" s="246">
        <f>C19+D19</f>
        <v>89827</v>
      </c>
      <c r="F19" s="181">
        <f>IF(E19&gt;$L$5,$N$5*(E19-$L$5)+$N$4*($L$5-$L$4)+$N$3*($L$4-$L$1),IF($L$5&gt;E19&gt;$L$4,$N$4*(E19-$L$4)+$N$3*($L$4-$L$1),0))</f>
        <v>11204.91</v>
      </c>
      <c r="G19" s="247">
        <f>E19*$G$10</f>
        <v>18504.361999999997</v>
      </c>
      <c r="H19" s="247">
        <f>E19/100*0.5</f>
        <v>449.135</v>
      </c>
      <c r="I19" s="247">
        <f>F19+G19+H19</f>
        <v>30158.406999999996</v>
      </c>
      <c r="J19" s="246">
        <f>E19+I19</f>
        <v>119985.40699999999</v>
      </c>
      <c r="K19" s="181">
        <f>J19/$K$10</f>
        <v>9998.7839166666654</v>
      </c>
      <c r="L19" s="181">
        <f>J19/$L$10</f>
        <v>545.38821363636362</v>
      </c>
      <c r="M19" s="181">
        <f>J19/$M$10</f>
        <v>2726.9410681818181</v>
      </c>
      <c r="N19" s="181">
        <f>J19/$N$10</f>
        <v>72.718428484848474</v>
      </c>
      <c r="P19" s="181">
        <f>0.1*C19</f>
        <v>8766.5</v>
      </c>
      <c r="Q19" s="181">
        <f>0.1*J19</f>
        <v>11998.5407</v>
      </c>
      <c r="R19" s="229"/>
    </row>
    <row r="20" spans="1:18">
      <c r="A20" s="248">
        <v>6</v>
      </c>
      <c r="B20" s="188">
        <v>10</v>
      </c>
      <c r="C20" s="246">
        <v>93459</v>
      </c>
      <c r="D20" s="246">
        <v>2162</v>
      </c>
      <c r="E20" s="246">
        <f>C20+D20</f>
        <v>95621</v>
      </c>
      <c r="F20" s="181">
        <f>IF(E20&gt;$L$5,$N$5*(E20-$L$5)+$N$4*($L$5-$L$4)+$N$3*($L$4-$L$1),IF($L$5&gt;E20&gt;$L$4,$N$4*(E20-$L$4)+$N$3*($L$4-$L$1),0))</f>
        <v>12004.482</v>
      </c>
      <c r="G20" s="247">
        <f>E20*$G$10</f>
        <v>19697.926</v>
      </c>
      <c r="H20" s="247">
        <f>E20/100*0.5</f>
        <v>478.105</v>
      </c>
      <c r="I20" s="247">
        <f>F20+G20+H20</f>
        <v>32180.513</v>
      </c>
      <c r="J20" s="246">
        <f>E20+I20</f>
        <v>127801.513</v>
      </c>
      <c r="K20" s="181">
        <f>J20/$K$10</f>
        <v>10650.126083333334</v>
      </c>
      <c r="L20" s="181">
        <f>J20/$L$10</f>
        <v>580.91596818181824</v>
      </c>
      <c r="M20" s="181">
        <f>J20/$M$10</f>
        <v>2904.5798409090912</v>
      </c>
      <c r="N20" s="181">
        <f>J20/$N$10</f>
        <v>77.455462424242427</v>
      </c>
      <c r="P20" s="181">
        <f>0.1*C20</f>
        <v>9345.9</v>
      </c>
      <c r="Q20" s="181">
        <f>0.1*J20</f>
        <v>12780.151300000001</v>
      </c>
      <c r="R20" s="229"/>
    </row>
    <row r="21" spans="1:18">
      <c r="A21" s="249"/>
      <c r="B21" s="188">
        <v>11</v>
      </c>
      <c r="C21" s="246">
        <v>93459</v>
      </c>
      <c r="D21" s="246">
        <v>2162</v>
      </c>
      <c r="E21" s="246">
        <f>C21+D21</f>
        <v>95621</v>
      </c>
      <c r="F21" s="181">
        <f>IF(E21&gt;$L$5,$N$5*(E21-$L$5)+$N$4*($L$5-$L$4)+$N$3*($L$4-$L$1),IF($L$5&gt;E21&gt;$L$4,$N$4*(E21-$L$4)+$N$3*($L$4-$L$1),0))</f>
        <v>12004.482</v>
      </c>
      <c r="G21" s="247">
        <f>E21*$G$10</f>
        <v>19697.926</v>
      </c>
      <c r="H21" s="247">
        <f>E21/100*0.5</f>
        <v>478.105</v>
      </c>
      <c r="I21" s="247">
        <f>F21+G21+H21</f>
        <v>32180.513</v>
      </c>
      <c r="J21" s="246">
        <f>E21+I21</f>
        <v>127801.513</v>
      </c>
      <c r="K21" s="181">
        <f>J21/$K$10</f>
        <v>10650.126083333334</v>
      </c>
      <c r="L21" s="181">
        <f>J21/$L$10</f>
        <v>580.91596818181824</v>
      </c>
      <c r="M21" s="181">
        <f>J21/$M$10</f>
        <v>2904.5798409090912</v>
      </c>
      <c r="N21" s="181">
        <f>J21/$N$10</f>
        <v>77.455462424242427</v>
      </c>
      <c r="P21" s="181">
        <f>0.1*C21</f>
        <v>9345.9</v>
      </c>
      <c r="Q21" s="181">
        <f>0.1*J21</f>
        <v>12780.151300000001</v>
      </c>
      <c r="R21" s="229"/>
    </row>
    <row r="22" spans="1:18">
      <c r="A22" s="249"/>
      <c r="B22" s="188">
        <v>12</v>
      </c>
      <c r="C22" s="246">
        <v>93459</v>
      </c>
      <c r="D22" s="246">
        <v>2162</v>
      </c>
      <c r="E22" s="246">
        <f>C22+D22</f>
        <v>95621</v>
      </c>
      <c r="F22" s="181">
        <f>IF(E22&gt;$L$5,$N$5*(E22-$L$5)+$N$4*($L$5-$L$4)+$N$3*($L$4-$L$1),IF($L$5&gt;E22&gt;$L$4,$N$4*(E22-$L$4)+$N$3*($L$4-$L$1),0))</f>
        <v>12004.482</v>
      </c>
      <c r="G22" s="247">
        <f>E22*$G$10</f>
        <v>19697.926</v>
      </c>
      <c r="H22" s="247">
        <f>E22/100*0.5</f>
        <v>478.105</v>
      </c>
      <c r="I22" s="247">
        <f>F22+G22+H22</f>
        <v>32180.513</v>
      </c>
      <c r="J22" s="246">
        <f>E22+I22</f>
        <v>127801.513</v>
      </c>
      <c r="K22" s="181">
        <f>J22/$K$10</f>
        <v>10650.126083333334</v>
      </c>
      <c r="L22" s="181">
        <f>J22/$L$10</f>
        <v>580.91596818181824</v>
      </c>
      <c r="M22" s="181">
        <f>J22/$M$10</f>
        <v>2904.5798409090912</v>
      </c>
      <c r="N22" s="181">
        <f>J22/$N$10</f>
        <v>77.455462424242427</v>
      </c>
      <c r="P22" s="181">
        <f>0.1*C22</f>
        <v>9345.9</v>
      </c>
      <c r="Q22" s="181">
        <f>0.1*J22</f>
        <v>12780.151300000001</v>
      </c>
      <c r="R22" s="229"/>
    </row>
    <row r="23" spans="1:18">
      <c r="A23" s="249"/>
      <c r="B23" s="188">
        <v>13</v>
      </c>
      <c r="C23" s="246">
        <v>93459</v>
      </c>
      <c r="D23" s="246">
        <v>2162</v>
      </c>
      <c r="E23" s="246">
        <f>C23+D23</f>
        <v>95621</v>
      </c>
      <c r="F23" s="181">
        <f>IF(E23&gt;$L$5,$N$5*(E23-$L$5)+$N$4*($L$5-$L$4)+$N$3*($L$4-$L$1),IF($L$5&gt;E23&gt;$L$4,$N$4*(E23-$L$4)+$N$3*($L$4-$L$1),0))</f>
        <v>12004.482</v>
      </c>
      <c r="G23" s="247">
        <f>E23*$G$10</f>
        <v>19697.926</v>
      </c>
      <c r="H23" s="247">
        <f>E23/100*0.5</f>
        <v>478.105</v>
      </c>
      <c r="I23" s="247">
        <f>F23+G23+H23</f>
        <v>32180.513</v>
      </c>
      <c r="J23" s="246">
        <f>E23+I23</f>
        <v>127801.513</v>
      </c>
      <c r="K23" s="181">
        <f>J23/$K$10</f>
        <v>10650.126083333334</v>
      </c>
      <c r="L23" s="181">
        <f>J23/$L$10</f>
        <v>580.91596818181824</v>
      </c>
      <c r="M23" s="181">
        <f>J23/$M$10</f>
        <v>2904.5798409090912</v>
      </c>
      <c r="N23" s="181">
        <f>J23/$N$10</f>
        <v>77.455462424242427</v>
      </c>
      <c r="P23" s="181">
        <f>0.1*C23</f>
        <v>9345.9</v>
      </c>
      <c r="Q23" s="181">
        <f>0.1*J23</f>
        <v>12780.151300000001</v>
      </c>
      <c r="R23" s="229"/>
    </row>
    <row r="24" spans="1:18">
      <c r="A24" s="250"/>
      <c r="B24" s="188">
        <v>14</v>
      </c>
      <c r="C24" s="246">
        <v>93459</v>
      </c>
      <c r="D24" s="246">
        <v>2162</v>
      </c>
      <c r="E24" s="246">
        <f>C24+D24</f>
        <v>95621</v>
      </c>
      <c r="F24" s="181">
        <f>IF(E24&gt;$L$5,$N$5*(E24-$L$5)+$N$4*($L$5-$L$4)+$N$3*($L$4-$L$1),IF($L$5&gt;E24&gt;$L$4,$N$4*(E24-$L$4)+$N$3*($L$4-$L$1),0))</f>
        <v>12004.482</v>
      </c>
      <c r="G24" s="247">
        <f>E24*$G$10</f>
        <v>19697.926</v>
      </c>
      <c r="H24" s="247">
        <f>E24/100*0.5</f>
        <v>478.105</v>
      </c>
      <c r="I24" s="247">
        <f>F24+G24+H24</f>
        <v>32180.513</v>
      </c>
      <c r="J24" s="246">
        <f>E24+I24</f>
        <v>127801.513</v>
      </c>
      <c r="K24" s="181">
        <f>J24/$K$10</f>
        <v>10650.126083333334</v>
      </c>
      <c r="L24" s="181">
        <f>J24/$L$10</f>
        <v>580.91596818181824</v>
      </c>
      <c r="M24" s="181">
        <f>J24/$M$10</f>
        <v>2904.5798409090912</v>
      </c>
      <c r="N24" s="181">
        <f>J24/$N$10</f>
        <v>77.455462424242427</v>
      </c>
      <c r="P24" s="181">
        <f>0.1*C24</f>
        <v>9345.9</v>
      </c>
      <c r="Q24" s="181">
        <f>0.1*J24</f>
        <v>12780.151300000001</v>
      </c>
      <c r="R24" s="229"/>
    </row>
    <row r="25" spans="1:18">
      <c r="A25" s="248">
        <v>7</v>
      </c>
      <c r="B25" s="188">
        <v>15</v>
      </c>
      <c r="C25" s="246">
        <v>99254</v>
      </c>
      <c r="D25" s="246">
        <v>2162</v>
      </c>
      <c r="E25" s="246">
        <f>C25+D25</f>
        <v>101416</v>
      </c>
      <c r="F25" s="181">
        <f>IF(E25&gt;$L$5,$N$5*(E25-$L$5)+$N$4*($L$5-$L$4)+$N$3*($L$4-$L$1),IF($L$5&gt;E25&gt;$L$4,$N$4*(E25-$L$4)+$N$3*($L$4-$L$1),0))</f>
        <v>12804.192000000001</v>
      </c>
      <c r="G25" s="247">
        <f>E25*$G$10</f>
        <v>20891.696</v>
      </c>
      <c r="H25" s="247">
        <f>E25/100*0.5</f>
        <v>507.08</v>
      </c>
      <c r="I25" s="247">
        <f>F25+G25+H25</f>
        <v>34202.968</v>
      </c>
      <c r="J25" s="246">
        <f>E25+I25</f>
        <v>135618.968</v>
      </c>
      <c r="K25" s="181">
        <f>J25/$K$10</f>
        <v>11301.580666666667</v>
      </c>
      <c r="L25" s="181">
        <f>J25/$L$10</f>
        <v>616.44985454545451</v>
      </c>
      <c r="M25" s="181">
        <f>J25/$M$10</f>
        <v>3082.2492727272725</v>
      </c>
      <c r="N25" s="181">
        <f>J25/$N$10</f>
        <v>82.193313939393931</v>
      </c>
      <c r="P25" s="181">
        <f>0.1*C25</f>
        <v>9925.4000000000015</v>
      </c>
      <c r="Q25" s="181">
        <f>0.1*J25</f>
        <v>13561.8968</v>
      </c>
      <c r="R25" s="229"/>
    </row>
    <row r="26" spans="1:18">
      <c r="A26" s="249"/>
      <c r="B26" s="188">
        <v>16</v>
      </c>
      <c r="C26" s="246">
        <v>99254</v>
      </c>
      <c r="D26" s="246">
        <v>2162</v>
      </c>
      <c r="E26" s="246">
        <f>C26+D26</f>
        <v>101416</v>
      </c>
      <c r="F26" s="181">
        <f>IF(E26&gt;$L$5,$N$5*(E26-$L$5)+$N$4*($L$5-$L$4)+$N$3*($L$4-$L$1),IF($L$5&gt;E26&gt;$L$4,$N$4*(E26-$L$4)+$N$3*($L$4-$L$1),0))</f>
        <v>12804.192000000001</v>
      </c>
      <c r="G26" s="247">
        <f>E26*$G$10</f>
        <v>20891.696</v>
      </c>
      <c r="H26" s="247">
        <f>E26/100*0.5</f>
        <v>507.08</v>
      </c>
      <c r="I26" s="247">
        <f>F26+G26+H26</f>
        <v>34202.968</v>
      </c>
      <c r="J26" s="246">
        <f>E26+I26</f>
        <v>135618.968</v>
      </c>
      <c r="K26" s="181">
        <f>J26/$K$10</f>
        <v>11301.580666666667</v>
      </c>
      <c r="L26" s="181">
        <f>J26/$L$10</f>
        <v>616.44985454545451</v>
      </c>
      <c r="M26" s="181">
        <f>J26/$M$10</f>
        <v>3082.2492727272725</v>
      </c>
      <c r="N26" s="181">
        <f>J26/$N$10</f>
        <v>82.193313939393931</v>
      </c>
      <c r="P26" s="181">
        <f>0.1*C26</f>
        <v>9925.4000000000015</v>
      </c>
      <c r="Q26" s="181">
        <f>0.1*J26</f>
        <v>13561.8968</v>
      </c>
      <c r="R26" s="229"/>
    </row>
    <row r="27" spans="1:18">
      <c r="A27" s="249"/>
      <c r="B27" s="188">
        <v>17</v>
      </c>
      <c r="C27" s="246">
        <v>99254</v>
      </c>
      <c r="D27" s="246">
        <v>2162</v>
      </c>
      <c r="E27" s="246">
        <f>C27+D27</f>
        <v>101416</v>
      </c>
      <c r="F27" s="181">
        <f>IF(E27&gt;$L$5,$N$5*(E27-$L$5)+$N$4*($L$5-$L$4)+$N$3*($L$4-$L$1),IF($L$5&gt;E27&gt;$L$4,$N$4*(E27-$L$4)+$N$3*($L$4-$L$1),0))</f>
        <v>12804.192000000001</v>
      </c>
      <c r="G27" s="247">
        <f>E27*$G$10</f>
        <v>20891.696</v>
      </c>
      <c r="H27" s="247">
        <f>E27/100*0.5</f>
        <v>507.08</v>
      </c>
      <c r="I27" s="247">
        <f>F27+G27+H27</f>
        <v>34202.968</v>
      </c>
      <c r="J27" s="246">
        <f>E27+I27</f>
        <v>135618.968</v>
      </c>
      <c r="K27" s="181">
        <f>J27/$K$10</f>
        <v>11301.580666666667</v>
      </c>
      <c r="L27" s="181">
        <f>J27/$L$10</f>
        <v>616.44985454545451</v>
      </c>
      <c r="M27" s="181">
        <f>J27/$M$10</f>
        <v>3082.2492727272725</v>
      </c>
      <c r="N27" s="181">
        <f>J27/$N$10</f>
        <v>82.193313939393931</v>
      </c>
      <c r="P27" s="181">
        <f>0.1*C27</f>
        <v>9925.4000000000015</v>
      </c>
      <c r="Q27" s="181">
        <f>0.1*J27</f>
        <v>13561.8968</v>
      </c>
      <c r="R27" s="229"/>
    </row>
    <row r="28" spans="1:18">
      <c r="A28" s="249"/>
      <c r="B28" s="188">
        <v>18</v>
      </c>
      <c r="C28" s="246">
        <v>99254</v>
      </c>
      <c r="D28" s="246">
        <v>2162</v>
      </c>
      <c r="E28" s="246">
        <f>C28+D28</f>
        <v>101416</v>
      </c>
      <c r="F28" s="181">
        <f>IF(E28&gt;$L$5,$N$5*(E28-$L$5)+$N$4*($L$5-$L$4)+$N$3*($L$4-$L$1),IF($L$5&gt;E28&gt;$L$4,$N$4*(E28-$L$4)+$N$3*($L$4-$L$1),0))</f>
        <v>12804.192000000001</v>
      </c>
      <c r="G28" s="247">
        <f>E28*$G$10</f>
        <v>20891.696</v>
      </c>
      <c r="H28" s="247">
        <f>E28/100*0.5</f>
        <v>507.08</v>
      </c>
      <c r="I28" s="247">
        <f>F28+G28+H28</f>
        <v>34202.968</v>
      </c>
      <c r="J28" s="246">
        <f>E28+I28</f>
        <v>135618.968</v>
      </c>
      <c r="K28" s="181">
        <f>J28/$K$10</f>
        <v>11301.580666666667</v>
      </c>
      <c r="L28" s="181">
        <f>J28/$L$10</f>
        <v>616.44985454545451</v>
      </c>
      <c r="M28" s="181">
        <f>J28/$M$10</f>
        <v>3082.2492727272725</v>
      </c>
      <c r="N28" s="181">
        <f>J28/$N$10</f>
        <v>82.193313939393931</v>
      </c>
      <c r="P28" s="181">
        <f>0.1*C28</f>
        <v>9925.4000000000015</v>
      </c>
      <c r="Q28" s="181">
        <f>0.1*J28</f>
        <v>13561.8968</v>
      </c>
      <c r="R28" s="229"/>
    </row>
    <row r="29" spans="1:18">
      <c r="A29" s="250"/>
      <c r="B29" s="188">
        <v>19</v>
      </c>
      <c r="C29" s="246">
        <v>99254</v>
      </c>
      <c r="D29" s="246">
        <v>2162</v>
      </c>
      <c r="E29" s="246">
        <f>C29+D29</f>
        <v>101416</v>
      </c>
      <c r="F29" s="181">
        <f>IF(E29&gt;$L$5,$N$5*(E29-$L$5)+$N$4*($L$5-$L$4)+$N$3*($L$4-$L$1),IF($L$5&gt;E29&gt;$L$4,$N$4*(E29-$L$4)+$N$3*($L$4-$L$1),0))</f>
        <v>12804.192000000001</v>
      </c>
      <c r="G29" s="247">
        <f>E29*$G$10</f>
        <v>20891.696</v>
      </c>
      <c r="H29" s="247">
        <f>E29/100*0.5</f>
        <v>507.08</v>
      </c>
      <c r="I29" s="247">
        <f>F29+G29+H29</f>
        <v>34202.968</v>
      </c>
      <c r="J29" s="246">
        <f>E29+I29</f>
        <v>135618.968</v>
      </c>
      <c r="K29" s="181">
        <f>J29/$K$10</f>
        <v>11301.580666666667</v>
      </c>
      <c r="L29" s="181">
        <f>J29/$L$10</f>
        <v>616.44985454545451</v>
      </c>
      <c r="M29" s="181">
        <f>J29/$M$10</f>
        <v>3082.2492727272725</v>
      </c>
      <c r="N29" s="181">
        <f>J29/$N$10</f>
        <v>82.193313939393931</v>
      </c>
      <c r="P29" s="181">
        <f>0.1*C29</f>
        <v>9925.4000000000015</v>
      </c>
      <c r="Q29" s="181">
        <f>0.1*J29</f>
        <v>13561.8968</v>
      </c>
      <c r="R29" s="229"/>
    </row>
    <row r="30" spans="1:18">
      <c r="A30" s="180">
        <v>8</v>
      </c>
      <c r="B30" s="188">
        <v>20</v>
      </c>
      <c r="C30" s="246">
        <v>105042</v>
      </c>
      <c r="D30" s="246">
        <v>2162</v>
      </c>
      <c r="E30" s="246">
        <f>C30+D30</f>
        <v>107204</v>
      </c>
      <c r="F30" s="181">
        <f>IF(E30&gt;$L$5,$N$5*(E30-$L$5)+$N$4*($L$5-$L$4)+$N$3*($L$4-$L$1),IF($L$5&gt;E30&gt;$L$4,$N$4*(E30-$L$4)+$N$3*($L$4-$L$1),0))</f>
        <v>13602.936000000002</v>
      </c>
      <c r="G30" s="247">
        <f>E30*$G$10</f>
        <v>22084.023999999998</v>
      </c>
      <c r="H30" s="247">
        <f>E30/100*0.5</f>
        <v>536.02</v>
      </c>
      <c r="I30" s="247">
        <f>F30+G30+H30</f>
        <v>36222.979999999996</v>
      </c>
      <c r="J30" s="246">
        <f>E30+I30</f>
        <v>143426.97999999998</v>
      </c>
      <c r="K30" s="181">
        <f>J30/$K$10</f>
        <v>11952.248333333331</v>
      </c>
      <c r="L30" s="181">
        <f>J30/$L$10</f>
        <v>651.94081818181814</v>
      </c>
      <c r="M30" s="181">
        <f>J30/$M$10</f>
        <v>3259.7040909090906</v>
      </c>
      <c r="N30" s="181">
        <f>J30/$N$10</f>
        <v>86.925442424242419</v>
      </c>
      <c r="P30" s="181">
        <f>0.1*C30</f>
        <v>10504.2</v>
      </c>
      <c r="Q30" s="181">
        <f>0.1*J30</f>
        <v>14342.697999999999</v>
      </c>
      <c r="R30" s="229"/>
    </row>
    <row r="31" spans="1:18">
      <c r="A31" s="228"/>
      <c r="B31" s="203"/>
      <c r="C31" s="251"/>
      <c r="D31" s="251"/>
      <c r="E31" s="251"/>
      <c r="F31" s="229"/>
      <c r="G31" s="226"/>
      <c r="H31" s="226"/>
      <c r="I31" s="226"/>
      <c r="J31" s="251"/>
      <c r="K31" s="229"/>
      <c r="L31" s="229"/>
      <c r="M31" s="229"/>
      <c r="N31" s="229"/>
      <c r="P31" s="229"/>
      <c r="Q31" s="229"/>
      <c r="R31" s="229"/>
    </row>
    <row r="32" spans="1:18">
      <c r="A32" s="252" t="s">
        <v>241</v>
      </c>
      <c r="B32" s="203"/>
      <c r="C32" s="251"/>
      <c r="D32" s="251"/>
      <c r="E32" s="251"/>
      <c r="F32" s="229"/>
      <c r="G32" s="226"/>
      <c r="H32" s="226"/>
      <c r="I32" s="226"/>
      <c r="J32" s="251"/>
      <c r="K32" s="229"/>
      <c r="L32" s="229"/>
      <c r="M32" s="229"/>
      <c r="N32" s="229"/>
      <c r="P32" s="229"/>
      <c r="Q32" s="229"/>
      <c r="R32" s="229"/>
    </row>
    <row r="33" spans="1:18">
      <c r="A33" s="228"/>
      <c r="B33" s="203"/>
      <c r="C33" s="251"/>
      <c r="D33" s="251"/>
      <c r="E33" s="251"/>
      <c r="F33" s="229"/>
      <c r="G33" s="226"/>
      <c r="H33" s="226"/>
      <c r="I33" s="226"/>
      <c r="J33" s="251"/>
      <c r="K33" s="229"/>
      <c r="L33" s="229"/>
      <c r="M33" s="229"/>
      <c r="N33" s="229"/>
      <c r="P33" s="229"/>
      <c r="Q33" s="229"/>
      <c r="R33" s="229"/>
    </row>
    <row r="34" spans="1:17" ht="15">
      <c r="A34" s="228"/>
      <c r="B34" s="242" t="s">
        <v>242</v>
      </c>
      <c r="D34" s="242" t="s">
        <v>243</v>
      </c>
      <c r="E34" s="251"/>
      <c r="F34" s="253"/>
      <c r="G34" s="242" t="s">
        <v>244</v>
      </c>
      <c r="H34" s="243"/>
      <c r="I34" s="251"/>
      <c r="J34" s="229"/>
      <c r="K34" s="229"/>
      <c r="L34" s="229"/>
      <c r="M34" s="229"/>
      <c r="O34" s="229"/>
      <c r="P34" s="229"/>
      <c r="Q34" s="229"/>
    </row>
    <row r="35" spans="2:8">
      <c r="B35" s="181">
        <v>3268</v>
      </c>
      <c r="C35" s="254">
        <v>1</v>
      </c>
      <c r="D35" s="181">
        <v>3016</v>
      </c>
      <c r="F35" s="254" t="s">
        <v>245</v>
      </c>
      <c r="G35" s="181">
        <v>32601</v>
      </c>
      <c r="H35" s="229"/>
    </row>
    <row r="36" spans="2:8">
      <c r="B36" s="181">
        <v>6536</v>
      </c>
      <c r="C36" s="254">
        <v>2</v>
      </c>
      <c r="D36" s="181">
        <v>6032</v>
      </c>
      <c r="F36" s="254" t="s">
        <v>246</v>
      </c>
      <c r="G36" s="181">
        <v>57048</v>
      </c>
      <c r="H36" s="229"/>
    </row>
    <row r="37" spans="2:8">
      <c r="B37" s="181">
        <v>9804</v>
      </c>
      <c r="C37" s="254">
        <v>3</v>
      </c>
      <c r="D37" s="181">
        <v>9048</v>
      </c>
      <c r="F37" s="254" t="s">
        <v>247</v>
      </c>
      <c r="G37" s="181">
        <v>77415</v>
      </c>
      <c r="H37" s="229"/>
    </row>
    <row r="38" spans="2:4">
      <c r="B38" s="181">
        <v>13072</v>
      </c>
      <c r="C38" s="254">
        <v>4</v>
      </c>
      <c r="D38" s="181">
        <v>12064</v>
      </c>
    </row>
    <row r="39" spans="2:4">
      <c r="B39" s="181">
        <v>16340</v>
      </c>
      <c r="C39" s="254">
        <v>5</v>
      </c>
      <c r="D39" s="181">
        <v>15080</v>
      </c>
    </row>
    <row r="40" spans="2:4">
      <c r="B40" s="181">
        <v>19608</v>
      </c>
      <c r="C40" s="254">
        <v>6</v>
      </c>
      <c r="D40" s="181">
        <v>18096</v>
      </c>
    </row>
    <row r="41" spans="2:4">
      <c r="B41" s="181">
        <v>22876</v>
      </c>
      <c r="C41" s="254">
        <v>7</v>
      </c>
      <c r="D41" s="181">
        <v>24128</v>
      </c>
    </row>
    <row r="42" spans="2:4">
      <c r="B42" s="181">
        <v>26144</v>
      </c>
      <c r="C42" s="254">
        <v>8</v>
      </c>
      <c r="D42" s="181">
        <v>30160</v>
      </c>
    </row>
    <row r="43" spans="2:4">
      <c r="B43" s="179"/>
      <c r="C43" s="254" t="s">
        <v>248</v>
      </c>
      <c r="D43" s="181">
        <v>36192</v>
      </c>
    </row>
    <row r="44" spans="2:4">
      <c r="B44" s="179"/>
      <c r="C44" s="254" t="s">
        <v>249</v>
      </c>
      <c r="D44" s="181">
        <v>47582</v>
      </c>
    </row>
    <row r="45" spans="2:4">
      <c r="B45" s="179"/>
      <c r="C45" s="254" t="s">
        <v>250</v>
      </c>
      <c r="D45" s="181">
        <v>59477</v>
      </c>
    </row>
    <row r="46" spans="2:4">
      <c r="B46" s="179"/>
      <c r="C46" s="254" t="s">
        <v>251</v>
      </c>
      <c r="D46" s="181">
        <v>77320</v>
      </c>
    </row>
    <row r="47" spans="2:3">
      <c r="B47" s="179"/>
      <c r="C47" s="253"/>
    </row>
    <row r="48" spans="2:2">
      <c r="B48" s="179"/>
    </row>
    <row r="49" spans="2:2">
      <c r="B49" s="179"/>
    </row>
    <row r="50" spans="2:2">
      <c r="B50" s="179"/>
    </row>
    <row r="51" spans="2:2">
      <c r="B51" s="179"/>
    </row>
  </sheetData>
  <pageMargins left="0.7" right="0.7" top="0.75" bottom="0.75" header="0.3" footer="0.3"/>
  <headerFooter scaleWithDoc="1" alignWithMargins="0" differentFirst="0" differentOddEven="0"/>
  <extLst/>
</worksheet>
</file>

<file path=xl/worksheets/sheet1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Y317"/>
  <sheetViews>
    <sheetView topLeftCell="A7" view="normal" workbookViewId="0">
      <selection pane="topLeft" activeCell="A1" sqref="A1:XFD10"/>
    </sheetView>
  </sheetViews>
  <sheetFormatPr defaultRowHeight="12.75"/>
  <cols>
    <col min="1" max="1" width="22.25390625" style="202" bestFit="1" customWidth="1"/>
    <col min="2" max="2" width="10.75390625" style="255" customWidth="1"/>
    <col min="3" max="3" width="15.75390625" style="179" bestFit="1" customWidth="1"/>
    <col min="4" max="14" width="10.875" style="179" customWidth="1"/>
    <col min="15" max="15" width="2.375" style="179" customWidth="1"/>
    <col min="16" max="16" width="10.875" style="179" customWidth="1"/>
    <col min="17" max="17" width="14.875" style="179" bestFit="1" customWidth="1"/>
    <col min="18" max="18" width="2.875" style="179" customWidth="1"/>
    <col min="19" max="25" width="10.875" style="179" customWidth="1"/>
    <col min="26" max="16384" width="9.125" style="179" customWidth="1"/>
  </cols>
  <sheetData>
    <row r="1" spans="2:14" hidden="1">
      <c r="B1" s="179"/>
      <c r="I1" s="203"/>
      <c r="J1" s="226"/>
      <c r="K1" s="180" t="s">
        <v>168</v>
      </c>
      <c r="L1" s="181">
        <v>6136</v>
      </c>
      <c r="M1" s="182" t="s">
        <v>169</v>
      </c>
      <c r="N1" s="183"/>
    </row>
    <row r="2" spans="2:25" ht="15" hidden="1">
      <c r="B2" s="179"/>
      <c r="I2" s="203"/>
      <c r="J2" s="226"/>
      <c r="K2" s="180" t="s">
        <v>170</v>
      </c>
      <c r="L2" s="181">
        <v>50000</v>
      </c>
      <c r="M2" s="185"/>
      <c r="N2" s="186"/>
      <c r="V2" s="227"/>
      <c r="W2" s="227"/>
      <c r="X2" s="227"/>
      <c r="Y2" s="227"/>
    </row>
    <row r="3" spans="2:25" ht="15" hidden="1">
      <c r="B3" s="179"/>
      <c r="I3" s="203"/>
      <c r="J3" s="226"/>
      <c r="K3" s="180" t="s">
        <v>171</v>
      </c>
      <c r="L3" s="181">
        <v>8632</v>
      </c>
      <c r="M3" s="185" t="s">
        <v>172</v>
      </c>
      <c r="N3" s="187">
        <v>0</v>
      </c>
      <c r="V3" s="227"/>
      <c r="W3" s="227"/>
      <c r="X3" s="227"/>
      <c r="Y3" s="227"/>
    </row>
    <row r="4" spans="2:25" ht="15" hidden="1">
      <c r="B4" s="179"/>
      <c r="I4" s="203"/>
      <c r="J4" s="226"/>
      <c r="K4" s="188" t="s">
        <v>174</v>
      </c>
      <c r="L4" s="189">
        <v>8632</v>
      </c>
      <c r="M4" s="190" t="s">
        <v>175</v>
      </c>
      <c r="N4" s="191">
        <v>0.138</v>
      </c>
      <c r="V4" s="227"/>
      <c r="W4" s="227"/>
      <c r="X4" s="227"/>
      <c r="Y4" s="227"/>
    </row>
    <row r="5" spans="2:25" ht="15" hidden="1">
      <c r="B5" s="179"/>
      <c r="I5" s="203"/>
      <c r="J5" s="226"/>
      <c r="K5" s="180" t="s">
        <v>176</v>
      </c>
      <c r="L5" s="181">
        <v>50000</v>
      </c>
      <c r="M5" s="192" t="s">
        <v>177</v>
      </c>
      <c r="N5" s="193">
        <v>0.138</v>
      </c>
      <c r="V5" s="227"/>
      <c r="W5" s="227"/>
      <c r="X5" s="227"/>
      <c r="Y5" s="227"/>
    </row>
    <row r="6" spans="2:25" ht="15" hidden="1">
      <c r="B6" s="179"/>
      <c r="I6" s="203"/>
      <c r="J6" s="226"/>
      <c r="K6" s="228"/>
      <c r="L6" s="229"/>
      <c r="M6" s="228"/>
      <c r="N6" s="230"/>
      <c r="V6" s="227"/>
      <c r="W6" s="227"/>
      <c r="X6" s="227"/>
      <c r="Y6" s="227"/>
    </row>
    <row r="7" spans="1:14" s="232" customFormat="1" ht="20.25">
      <c r="A7" s="231" t="s">
        <v>252</v>
      </c>
      <c r="B7" s="231"/>
      <c r="C7" s="231"/>
      <c r="D7" s="231"/>
      <c r="E7" s="233" t="s">
        <v>253</v>
      </c>
      <c r="F7" s="233"/>
      <c r="G7" s="233"/>
      <c r="H7" s="233"/>
      <c r="I7" s="233"/>
      <c r="J7" s="233"/>
      <c r="K7" s="233"/>
      <c r="M7" s="236"/>
      <c r="N7" s="238"/>
    </row>
    <row r="8" spans="1:25" ht="15.75">
      <c r="A8" s="239"/>
      <c r="B8" s="179"/>
      <c r="V8" s="227"/>
      <c r="W8" s="227"/>
      <c r="X8" s="227"/>
      <c r="Y8" s="227"/>
    </row>
    <row r="9" spans="2:25" ht="15.75">
      <c r="B9" s="179"/>
      <c r="C9" s="240" t="s">
        <v>226</v>
      </c>
      <c r="D9" s="240" t="s">
        <v>227</v>
      </c>
      <c r="E9" s="180"/>
      <c r="F9" s="240" t="s">
        <v>228</v>
      </c>
      <c r="G9" s="240" t="s">
        <v>229</v>
      </c>
      <c r="H9" s="240" t="s">
        <v>191</v>
      </c>
      <c r="I9" s="180"/>
      <c r="J9" s="241" t="s">
        <v>230</v>
      </c>
      <c r="K9" s="241" t="s">
        <v>231</v>
      </c>
      <c r="L9" s="241" t="s">
        <v>232</v>
      </c>
      <c r="M9" s="241" t="s">
        <v>233</v>
      </c>
      <c r="N9" s="241" t="s">
        <v>234</v>
      </c>
      <c r="P9" s="241" t="s">
        <v>235</v>
      </c>
      <c r="Q9" s="242" t="s">
        <v>236</v>
      </c>
      <c r="R9" s="243"/>
      <c r="V9" s="227"/>
      <c r="W9" s="227"/>
      <c r="X9" s="227"/>
      <c r="Y9" s="227"/>
    </row>
    <row r="10" spans="1:25" ht="15.75">
      <c r="A10" s="256" t="s">
        <v>254</v>
      </c>
      <c r="B10" s="240" t="s">
        <v>238</v>
      </c>
      <c r="C10" s="240"/>
      <c r="D10" s="240"/>
      <c r="E10" s="240" t="s">
        <v>239</v>
      </c>
      <c r="F10" s="240"/>
      <c r="G10" s="244">
        <v>0.206</v>
      </c>
      <c r="H10" s="244"/>
      <c r="I10" s="245" t="s">
        <v>240</v>
      </c>
      <c r="J10" s="180"/>
      <c r="K10" s="180">
        <v>12</v>
      </c>
      <c r="L10" s="180">
        <v>220</v>
      </c>
      <c r="M10" s="180">
        <v>44</v>
      </c>
      <c r="N10" s="180">
        <v>1650</v>
      </c>
      <c r="P10" s="180"/>
      <c r="Q10" s="180"/>
      <c r="R10" s="228"/>
      <c r="V10" s="227"/>
      <c r="W10" s="227"/>
      <c r="X10" s="227"/>
      <c r="Y10" s="227"/>
    </row>
    <row r="11" spans="1:25" ht="15">
      <c r="A11" s="257" t="s">
        <v>255</v>
      </c>
      <c r="B11" s="258" t="s">
        <v>256</v>
      </c>
      <c r="C11" s="259">
        <v>77913</v>
      </c>
      <c r="D11" s="246">
        <v>2162</v>
      </c>
      <c r="E11" s="246">
        <f>C11+D11</f>
        <v>80075</v>
      </c>
      <c r="F11" s="181">
        <f>IF(E11&gt;$L$5,$N$5*(E11-$L$5)+$N$4*($L$5-$L$4)+$N$3*($L$4-$L$1),IF($L$5&gt;E11&gt;$L$4,$N$4*(E11-$L$4)+$N$3*($L$4-$L$1),0))</f>
        <v>9859.1340000000018</v>
      </c>
      <c r="G11" s="247">
        <f>E11*$G$10</f>
        <v>16495.45</v>
      </c>
      <c r="H11" s="247">
        <f>E11/100*0.5</f>
        <v>400.375</v>
      </c>
      <c r="I11" s="247">
        <f>F11+G11+H11</f>
        <v>26754.959000000003</v>
      </c>
      <c r="J11" s="246">
        <f>E11+I11</f>
        <v>106829.959</v>
      </c>
      <c r="K11" s="181">
        <f>J11/$K$10</f>
        <v>8902.4965833333335</v>
      </c>
      <c r="L11" s="181">
        <f>J11/$L$10</f>
        <v>485.59072272727275</v>
      </c>
      <c r="M11" s="181">
        <f>J11/$M$10</f>
        <v>2427.9536136363636</v>
      </c>
      <c r="N11" s="181">
        <f>J11/$N$10</f>
        <v>64.7454296969697</v>
      </c>
      <c r="P11" s="181">
        <f>0.1*C11</f>
        <v>7791.3</v>
      </c>
      <c r="Q11" s="181">
        <f>0.1*J11</f>
        <v>10682.995900000002</v>
      </c>
      <c r="R11" s="229"/>
      <c r="V11" s="227"/>
      <c r="W11" s="227"/>
      <c r="X11" s="227"/>
      <c r="Y11" s="227"/>
    </row>
    <row r="12" spans="1:25" ht="15">
      <c r="A12" s="257" t="s">
        <v>255</v>
      </c>
      <c r="B12" s="258" t="s">
        <v>202</v>
      </c>
      <c r="C12" s="259">
        <v>79130</v>
      </c>
      <c r="D12" s="246">
        <v>2162</v>
      </c>
      <c r="E12" s="246">
        <f>C12+D12</f>
        <v>81292</v>
      </c>
      <c r="F12" s="181">
        <f>IF(E12&gt;$L$5,$N$5*(E12-$L$5)+$N$4*($L$5-$L$4)+$N$3*($L$4-$L$1),IF($L$5&gt;E12&gt;$L$4,$N$4*(E12-$L$4)+$N$3*($L$4-$L$1),0))</f>
        <v>10027.080000000002</v>
      </c>
      <c r="G12" s="247">
        <f>E12*$G$10</f>
        <v>16746.152</v>
      </c>
      <c r="H12" s="247">
        <f>E12/100*0.5</f>
        <v>406.46</v>
      </c>
      <c r="I12" s="247">
        <f>F12+G12+H12</f>
        <v>27179.692</v>
      </c>
      <c r="J12" s="246">
        <f>E12+I12</f>
        <v>108471.692</v>
      </c>
      <c r="K12" s="181">
        <f>J12/$K$10</f>
        <v>9039.3076666666657</v>
      </c>
      <c r="L12" s="181">
        <f>J12/$L$10</f>
        <v>493.05314545454542</v>
      </c>
      <c r="M12" s="181">
        <f>J12/$M$10</f>
        <v>2465.265727272727</v>
      </c>
      <c r="N12" s="181">
        <f>J12/$N$10</f>
        <v>65.740419393939391</v>
      </c>
      <c r="P12" s="181">
        <f>0.1*C12</f>
        <v>7913</v>
      </c>
      <c r="Q12" s="181">
        <f>0.1*J12</f>
        <v>10847.1692</v>
      </c>
      <c r="R12" s="229"/>
      <c r="V12" s="227"/>
      <c r="W12" s="227"/>
      <c r="X12" s="227"/>
      <c r="Y12" s="227"/>
    </row>
    <row r="13" spans="1:25" ht="15">
      <c r="A13" s="257" t="s">
        <v>255</v>
      </c>
      <c r="B13" s="258" t="s">
        <v>211</v>
      </c>
      <c r="C13" s="259">
        <v>82792</v>
      </c>
      <c r="D13" s="246">
        <v>2162</v>
      </c>
      <c r="E13" s="246">
        <f>C13+D13</f>
        <v>84954</v>
      </c>
      <c r="F13" s="181">
        <f>IF(E13&gt;$L$5,$N$5*(E13-$L$5)+$N$4*($L$5-$L$4)+$N$3*($L$4-$L$1),IF($L$5&gt;E13&gt;$L$4,$N$4*(E13-$L$4)+$N$3*($L$4-$L$1),0))</f>
        <v>10532.436000000002</v>
      </c>
      <c r="G13" s="247">
        <f>E13*$G$10</f>
        <v>17500.523999999998</v>
      </c>
      <c r="H13" s="247">
        <f>E13/100*0.5</f>
        <v>424.77</v>
      </c>
      <c r="I13" s="247">
        <f>F13+G13+H13</f>
        <v>28457.73</v>
      </c>
      <c r="J13" s="246">
        <f>E13+I13</f>
        <v>113411.73</v>
      </c>
      <c r="K13" s="181">
        <f>J13/$K$10</f>
        <v>9450.9774999999991</v>
      </c>
      <c r="L13" s="181">
        <f>J13/$L$10</f>
        <v>515.5078636363636</v>
      </c>
      <c r="M13" s="181">
        <f>J13/$M$10</f>
        <v>2577.5393181818181</v>
      </c>
      <c r="N13" s="181">
        <f>J13/$N$10</f>
        <v>68.734381818181816</v>
      </c>
      <c r="P13" s="181">
        <f>0.1*C13</f>
        <v>8279.2</v>
      </c>
      <c r="Q13" s="181">
        <f>0.1*J13</f>
        <v>11341.173</v>
      </c>
      <c r="R13" s="229"/>
      <c r="V13" s="227"/>
      <c r="W13" s="227"/>
      <c r="X13" s="227"/>
      <c r="Y13" s="227"/>
    </row>
    <row r="14" spans="1:25" ht="15">
      <c r="A14" s="257" t="s">
        <v>255</v>
      </c>
      <c r="B14" s="258" t="s">
        <v>212</v>
      </c>
      <c r="C14" s="259">
        <v>85232</v>
      </c>
      <c r="D14" s="246">
        <v>2162</v>
      </c>
      <c r="E14" s="246">
        <f>C14+D14</f>
        <v>87394</v>
      </c>
      <c r="F14" s="181">
        <f>IF(E14&gt;$L$5,$N$5*(E14-$L$5)+$N$4*($L$5-$L$4)+$N$3*($L$4-$L$1),IF($L$5&gt;E14&gt;$L$4,$N$4*(E14-$L$4)+$N$3*($L$4-$L$1),0))</f>
        <v>10869.156</v>
      </c>
      <c r="G14" s="247">
        <f>E14*$G$10</f>
        <v>18003.164</v>
      </c>
      <c r="H14" s="247">
        <f>E14/100*0.5</f>
        <v>436.97</v>
      </c>
      <c r="I14" s="247">
        <f>F14+G14+H14</f>
        <v>29309.29</v>
      </c>
      <c r="J14" s="246">
        <f>E14+I14</f>
        <v>116703.29000000001</v>
      </c>
      <c r="K14" s="181">
        <f>J14/$K$10</f>
        <v>9725.274166666668</v>
      </c>
      <c r="L14" s="181">
        <f>J14/$L$10</f>
        <v>530.4695</v>
      </c>
      <c r="M14" s="181">
        <f>J14/$M$10</f>
        <v>2652.3475000000003</v>
      </c>
      <c r="N14" s="181">
        <f>J14/$N$10</f>
        <v>70.729266666666675</v>
      </c>
      <c r="P14" s="181">
        <f>0.1*C14</f>
        <v>8523.2</v>
      </c>
      <c r="Q14" s="181">
        <f>0.1*J14</f>
        <v>11670.329000000002</v>
      </c>
      <c r="R14" s="229"/>
      <c r="V14" s="227"/>
      <c r="W14" s="227"/>
      <c r="X14" s="227"/>
      <c r="Y14" s="227"/>
    </row>
    <row r="15" spans="1:18">
      <c r="A15" s="257" t="s">
        <v>255</v>
      </c>
      <c r="B15" s="258" t="s">
        <v>214</v>
      </c>
      <c r="C15" s="259">
        <v>87665</v>
      </c>
      <c r="D15" s="246">
        <v>2162</v>
      </c>
      <c r="E15" s="246">
        <f>C15+D15</f>
        <v>89827</v>
      </c>
      <c r="F15" s="181">
        <f>IF(E15&gt;$L$5,$N$5*(E15-$L$5)+$N$4*($L$5-$L$4)+$N$3*($L$4-$L$1),IF($L$5&gt;E15&gt;$L$4,$N$4*(E15-$L$4)+$N$3*($L$4-$L$1),0))</f>
        <v>11204.91</v>
      </c>
      <c r="G15" s="247">
        <f>E15*$G$10</f>
        <v>18504.361999999997</v>
      </c>
      <c r="H15" s="247">
        <f>E15/100*0.5</f>
        <v>449.135</v>
      </c>
      <c r="I15" s="247">
        <f>F15+G15+H15</f>
        <v>30158.406999999996</v>
      </c>
      <c r="J15" s="246">
        <f>E15+I15</f>
        <v>119985.40699999999</v>
      </c>
      <c r="K15" s="181">
        <f>J15/$K$10</f>
        <v>9998.7839166666654</v>
      </c>
      <c r="L15" s="181">
        <f>J15/$L$10</f>
        <v>545.38821363636362</v>
      </c>
      <c r="M15" s="181">
        <f>J15/$M$10</f>
        <v>2726.9410681818181</v>
      </c>
      <c r="N15" s="181">
        <f>J15/$N$10</f>
        <v>72.718428484848474</v>
      </c>
      <c r="P15" s="181">
        <f>0.1*C15</f>
        <v>8766.5</v>
      </c>
      <c r="Q15" s="181">
        <f>0.1*J15</f>
        <v>11998.5407</v>
      </c>
      <c r="R15" s="229"/>
    </row>
    <row r="16" spans="1:18">
      <c r="A16" s="257" t="s">
        <v>255</v>
      </c>
      <c r="B16" s="258" t="s">
        <v>220</v>
      </c>
      <c r="C16" s="259">
        <v>87665</v>
      </c>
      <c r="D16" s="246">
        <v>2162</v>
      </c>
      <c r="E16" s="246">
        <f>C16+D16</f>
        <v>89827</v>
      </c>
      <c r="F16" s="181">
        <f>IF(E16&gt;$L$5,$N$5*(E16-$L$5)+$N$4*($L$5-$L$4)+$N$3*($L$4-$L$1),IF($L$5&gt;E16&gt;$L$4,$N$4*(E16-$L$4)+$N$3*($L$4-$L$1),0))</f>
        <v>11204.91</v>
      </c>
      <c r="G16" s="247">
        <f>E16*$G$10</f>
        <v>18504.361999999997</v>
      </c>
      <c r="H16" s="247">
        <f>E16/100*0.5</f>
        <v>449.135</v>
      </c>
      <c r="I16" s="247">
        <f>F16+G16+H16</f>
        <v>30158.406999999996</v>
      </c>
      <c r="J16" s="246">
        <f>E16+I16</f>
        <v>119985.40699999999</v>
      </c>
      <c r="K16" s="181">
        <f>J16/$K$10</f>
        <v>9998.7839166666654</v>
      </c>
      <c r="L16" s="181">
        <f>J16/$L$10</f>
        <v>545.38821363636362</v>
      </c>
      <c r="M16" s="181">
        <f>J16/$M$10</f>
        <v>2726.9410681818181</v>
      </c>
      <c r="N16" s="181">
        <f>J16/$N$10</f>
        <v>72.718428484848474</v>
      </c>
      <c r="P16" s="181">
        <f>0.1*C16</f>
        <v>8766.5</v>
      </c>
      <c r="Q16" s="181">
        <f>0.1*J16</f>
        <v>11998.5407</v>
      </c>
      <c r="R16" s="229"/>
    </row>
    <row r="17" spans="1:18">
      <c r="A17" s="257" t="s">
        <v>255</v>
      </c>
      <c r="B17" s="258" t="s">
        <v>221</v>
      </c>
      <c r="C17" s="259">
        <v>87665</v>
      </c>
      <c r="D17" s="246">
        <v>2162</v>
      </c>
      <c r="E17" s="246">
        <f>C17+D17</f>
        <v>89827</v>
      </c>
      <c r="F17" s="181">
        <f>IF(E17&gt;$L$5,$N$5*(E17-$L$5)+$N$4*($L$5-$L$4)+$N$3*($L$4-$L$1),IF($L$5&gt;E17&gt;$L$4,$N$4*(E17-$L$4)+$N$3*($L$4-$L$1),0))</f>
        <v>11204.91</v>
      </c>
      <c r="G17" s="247">
        <f>E17*$G$10</f>
        <v>18504.361999999997</v>
      </c>
      <c r="H17" s="247">
        <f>E17/100*0.5</f>
        <v>449.135</v>
      </c>
      <c r="I17" s="247">
        <f>F17+G17+H17</f>
        <v>30158.406999999996</v>
      </c>
      <c r="J17" s="246">
        <f>E17+I17</f>
        <v>119985.40699999999</v>
      </c>
      <c r="K17" s="181">
        <f>J17/$K$10</f>
        <v>9998.7839166666654</v>
      </c>
      <c r="L17" s="181">
        <f>J17/$L$10</f>
        <v>545.38821363636362</v>
      </c>
      <c r="M17" s="181">
        <f>J17/$M$10</f>
        <v>2726.9410681818181</v>
      </c>
      <c r="N17" s="181">
        <f>J17/$N$10</f>
        <v>72.718428484848474</v>
      </c>
      <c r="P17" s="181">
        <f>0.1*C17</f>
        <v>8766.5</v>
      </c>
      <c r="Q17" s="181">
        <f>0.1*J17</f>
        <v>11998.5407</v>
      </c>
      <c r="R17" s="229"/>
    </row>
    <row r="18" spans="1:18">
      <c r="A18" s="257" t="s">
        <v>255</v>
      </c>
      <c r="B18" s="258" t="s">
        <v>257</v>
      </c>
      <c r="C18" s="259">
        <v>87665</v>
      </c>
      <c r="D18" s="246">
        <v>2162</v>
      </c>
      <c r="E18" s="246">
        <f>C18+D18</f>
        <v>89827</v>
      </c>
      <c r="F18" s="181">
        <f>IF(E18&gt;$L$5,$N$5*(E18-$L$5)+$N$4*($L$5-$L$4)+$N$3*($L$4-$L$1),IF($L$5&gt;E18&gt;$L$4,$N$4*(E18-$L$4)+$N$3*($L$4-$L$1),0))</f>
        <v>11204.91</v>
      </c>
      <c r="G18" s="247">
        <f>E18*$G$10</f>
        <v>18504.361999999997</v>
      </c>
      <c r="H18" s="247">
        <f>E18/100*0.5</f>
        <v>449.135</v>
      </c>
      <c r="I18" s="247">
        <f>F18+G18+H18</f>
        <v>30158.406999999996</v>
      </c>
      <c r="J18" s="246">
        <f>E18+I18</f>
        <v>119985.40699999999</v>
      </c>
      <c r="K18" s="181">
        <f>J18/$K$10</f>
        <v>9998.7839166666654</v>
      </c>
      <c r="L18" s="181">
        <f>J18/$L$10</f>
        <v>545.38821363636362</v>
      </c>
      <c r="M18" s="181">
        <f>J18/$M$10</f>
        <v>2726.9410681818181</v>
      </c>
      <c r="N18" s="181">
        <f>J18/$N$10</f>
        <v>72.718428484848474</v>
      </c>
      <c r="P18" s="181">
        <f>0.1*C18</f>
        <v>8766.5</v>
      </c>
      <c r="Q18" s="181">
        <f>0.1*J18</f>
        <v>11998.5407</v>
      </c>
      <c r="R18" s="229"/>
    </row>
    <row r="19" spans="1:18">
      <c r="A19" s="257" t="s">
        <v>255</v>
      </c>
      <c r="B19" s="258" t="s">
        <v>258</v>
      </c>
      <c r="C19" s="259">
        <v>87665</v>
      </c>
      <c r="D19" s="246">
        <v>2162</v>
      </c>
      <c r="E19" s="246">
        <f>C19+D19</f>
        <v>89827</v>
      </c>
      <c r="F19" s="181">
        <f>IF(E19&gt;$L$5,$N$5*(E19-$L$5)+$N$4*($L$5-$L$4)+$N$3*($L$4-$L$1),IF($L$5&gt;E19&gt;$L$4,$N$4*(E19-$L$4)+$N$3*($L$4-$L$1),0))</f>
        <v>11204.91</v>
      </c>
      <c r="G19" s="247">
        <f>E19*$G$10</f>
        <v>18504.361999999997</v>
      </c>
      <c r="H19" s="247">
        <f>E19/100*0.5</f>
        <v>449.135</v>
      </c>
      <c r="I19" s="247">
        <f>F19+G19+H19</f>
        <v>30158.406999999996</v>
      </c>
      <c r="J19" s="246">
        <f>E19+I19</f>
        <v>119985.40699999999</v>
      </c>
      <c r="K19" s="181">
        <f>J19/$K$10</f>
        <v>9998.7839166666654</v>
      </c>
      <c r="L19" s="181">
        <f>J19/$L$10</f>
        <v>545.38821363636362</v>
      </c>
      <c r="M19" s="181">
        <f>J19/$M$10</f>
        <v>2726.9410681818181</v>
      </c>
      <c r="N19" s="181">
        <f>J19/$N$10</f>
        <v>72.718428484848474</v>
      </c>
      <c r="P19" s="181">
        <f>0.1*C19</f>
        <v>8766.5</v>
      </c>
      <c r="Q19" s="181">
        <f>0.1*J19</f>
        <v>11998.5407</v>
      </c>
      <c r="R19" s="229"/>
    </row>
    <row r="20" spans="1:18">
      <c r="A20" s="257" t="s">
        <v>255</v>
      </c>
      <c r="B20" s="258" t="s">
        <v>259</v>
      </c>
      <c r="C20" s="259">
        <v>93459</v>
      </c>
      <c r="D20" s="246">
        <v>2162</v>
      </c>
      <c r="E20" s="246">
        <f>C20+D20</f>
        <v>95621</v>
      </c>
      <c r="F20" s="181">
        <f>IF(E20&gt;$L$5,$N$5*(E20-$L$5)+$N$4*($L$5-$L$4)+$N$3*($L$4-$L$1),IF($L$5&gt;E20&gt;$L$4,$N$4*(E20-$L$4)+$N$3*($L$4-$L$1),0))</f>
        <v>12004.482</v>
      </c>
      <c r="G20" s="247">
        <f>E20*$G$10</f>
        <v>19697.926</v>
      </c>
      <c r="H20" s="247">
        <f>E20/100*0.5</f>
        <v>478.105</v>
      </c>
      <c r="I20" s="247">
        <f>F20+G20+H20</f>
        <v>32180.513</v>
      </c>
      <c r="J20" s="246">
        <f>E20+I20</f>
        <v>127801.513</v>
      </c>
      <c r="K20" s="181">
        <f>J20/$K$10</f>
        <v>10650.126083333334</v>
      </c>
      <c r="L20" s="181">
        <f>J20/$L$10</f>
        <v>580.91596818181824</v>
      </c>
      <c r="M20" s="181">
        <f>J20/$M$10</f>
        <v>2904.5798409090912</v>
      </c>
      <c r="N20" s="181">
        <f>J20/$N$10</f>
        <v>77.455462424242427</v>
      </c>
      <c r="P20" s="181">
        <f>0.1*C20</f>
        <v>9345.9</v>
      </c>
      <c r="Q20" s="181">
        <f>0.1*J20</f>
        <v>12780.151300000001</v>
      </c>
      <c r="R20" s="229"/>
    </row>
    <row r="21" spans="1:18">
      <c r="A21" s="257" t="s">
        <v>255</v>
      </c>
      <c r="B21" s="258" t="s">
        <v>260</v>
      </c>
      <c r="C21" s="259">
        <v>93459</v>
      </c>
      <c r="D21" s="246">
        <v>2162</v>
      </c>
      <c r="E21" s="246">
        <f>C21+D21</f>
        <v>95621</v>
      </c>
      <c r="F21" s="181">
        <f>IF(E21&gt;$L$5,$N$5*(E21-$L$5)+$N$4*($L$5-$L$4)+$N$3*($L$4-$L$1),IF($L$5&gt;E21&gt;$L$4,$N$4*(E21-$L$4)+$N$3*($L$4-$L$1),0))</f>
        <v>12004.482</v>
      </c>
      <c r="G21" s="247">
        <f>E21*$G$10</f>
        <v>19697.926</v>
      </c>
      <c r="H21" s="247">
        <f>E21/100*0.5</f>
        <v>478.105</v>
      </c>
      <c r="I21" s="247">
        <f>F21+G21+H21</f>
        <v>32180.513</v>
      </c>
      <c r="J21" s="246">
        <f>E21+I21</f>
        <v>127801.513</v>
      </c>
      <c r="K21" s="181">
        <f>J21/$K$10</f>
        <v>10650.126083333334</v>
      </c>
      <c r="L21" s="181">
        <f>J21/$L$10</f>
        <v>580.91596818181824</v>
      </c>
      <c r="M21" s="181">
        <f>J21/$M$10</f>
        <v>2904.5798409090912</v>
      </c>
      <c r="N21" s="181">
        <f>J21/$N$10</f>
        <v>77.455462424242427</v>
      </c>
      <c r="P21" s="181">
        <f>0.1*C21</f>
        <v>9345.9</v>
      </c>
      <c r="Q21" s="181">
        <f>0.1*J21</f>
        <v>12780.151300000001</v>
      </c>
      <c r="R21" s="229"/>
    </row>
    <row r="22" spans="1:18">
      <c r="A22" s="257" t="s">
        <v>255</v>
      </c>
      <c r="B22" s="258" t="s">
        <v>261</v>
      </c>
      <c r="C22" s="259">
        <v>93459</v>
      </c>
      <c r="D22" s="246">
        <v>2162</v>
      </c>
      <c r="E22" s="246">
        <f>C22+D22</f>
        <v>95621</v>
      </c>
      <c r="F22" s="181">
        <f>IF(E22&gt;$L$5,$N$5*(E22-$L$5)+$N$4*($L$5-$L$4)+$N$3*($L$4-$L$1),IF($L$5&gt;E22&gt;$L$4,$N$4*(E22-$L$4)+$N$3*($L$4-$L$1),0))</f>
        <v>12004.482</v>
      </c>
      <c r="G22" s="247">
        <f>E22*$G$10</f>
        <v>19697.926</v>
      </c>
      <c r="H22" s="247">
        <f>E22/100*0.5</f>
        <v>478.105</v>
      </c>
      <c r="I22" s="247">
        <f>F22+G22+H22</f>
        <v>32180.513</v>
      </c>
      <c r="J22" s="246">
        <f>E22+I22</f>
        <v>127801.513</v>
      </c>
      <c r="K22" s="181">
        <f>J22/$K$10</f>
        <v>10650.126083333334</v>
      </c>
      <c r="L22" s="181">
        <f>J22/$L$10</f>
        <v>580.91596818181824</v>
      </c>
      <c r="M22" s="181">
        <f>J22/$M$10</f>
        <v>2904.5798409090912</v>
      </c>
      <c r="N22" s="181">
        <f>J22/$N$10</f>
        <v>77.455462424242427</v>
      </c>
      <c r="P22" s="181">
        <f>0.1*C22</f>
        <v>9345.9</v>
      </c>
      <c r="Q22" s="181">
        <f>0.1*J22</f>
        <v>12780.151300000001</v>
      </c>
      <c r="R22" s="229"/>
    </row>
    <row r="23" spans="1:18">
      <c r="A23" s="257" t="s">
        <v>255</v>
      </c>
      <c r="B23" s="258" t="s">
        <v>262</v>
      </c>
      <c r="C23" s="259">
        <v>93459</v>
      </c>
      <c r="D23" s="246">
        <v>2162</v>
      </c>
      <c r="E23" s="246">
        <f>C23+D23</f>
        <v>95621</v>
      </c>
      <c r="F23" s="181">
        <f>IF(E23&gt;$L$5,$N$5*(E23-$L$5)+$N$4*($L$5-$L$4)+$N$3*($L$4-$L$1),IF($L$5&gt;E23&gt;$L$4,$N$4*(E23-$L$4)+$N$3*($L$4-$L$1),0))</f>
        <v>12004.482</v>
      </c>
      <c r="G23" s="247">
        <f>E23*$G$10</f>
        <v>19697.926</v>
      </c>
      <c r="H23" s="247">
        <f>E23/100*0.5</f>
        <v>478.105</v>
      </c>
      <c r="I23" s="247">
        <f>F23+G23+H23</f>
        <v>32180.513</v>
      </c>
      <c r="J23" s="246">
        <f>E23+I23</f>
        <v>127801.513</v>
      </c>
      <c r="K23" s="181">
        <f>J23/$K$10</f>
        <v>10650.126083333334</v>
      </c>
      <c r="L23" s="181">
        <f>J23/$L$10</f>
        <v>580.91596818181824</v>
      </c>
      <c r="M23" s="181">
        <f>J23/$M$10</f>
        <v>2904.5798409090912</v>
      </c>
      <c r="N23" s="181">
        <f>J23/$N$10</f>
        <v>77.455462424242427</v>
      </c>
      <c r="P23" s="181">
        <f>0.1*C23</f>
        <v>9345.9</v>
      </c>
      <c r="Q23" s="181">
        <f>0.1*J23</f>
        <v>12780.151300000001</v>
      </c>
      <c r="R23" s="229"/>
    </row>
    <row r="24" spans="1:18">
      <c r="A24" s="257" t="s">
        <v>255</v>
      </c>
      <c r="B24" s="258" t="s">
        <v>263</v>
      </c>
      <c r="C24" s="259">
        <v>93459</v>
      </c>
      <c r="D24" s="246">
        <v>2162</v>
      </c>
      <c r="E24" s="246">
        <f>C24+D24</f>
        <v>95621</v>
      </c>
      <c r="F24" s="181">
        <f>IF(E24&gt;$L$5,$N$5*(E24-$L$5)+$N$4*($L$5-$L$4)+$N$3*($L$4-$L$1),IF($L$5&gt;E24&gt;$L$4,$N$4*(E24-$L$4)+$N$3*($L$4-$L$1),0))</f>
        <v>12004.482</v>
      </c>
      <c r="G24" s="247">
        <f>E24*$G$10</f>
        <v>19697.926</v>
      </c>
      <c r="H24" s="247">
        <f>E24/100*0.5</f>
        <v>478.105</v>
      </c>
      <c r="I24" s="247">
        <f>F24+G24+H24</f>
        <v>32180.513</v>
      </c>
      <c r="J24" s="246">
        <f>E24+I24</f>
        <v>127801.513</v>
      </c>
      <c r="K24" s="181">
        <f>J24/$K$10</f>
        <v>10650.126083333334</v>
      </c>
      <c r="L24" s="181">
        <f>J24/$L$10</f>
        <v>580.91596818181824</v>
      </c>
      <c r="M24" s="181">
        <f>J24/$M$10</f>
        <v>2904.5798409090912</v>
      </c>
      <c r="N24" s="181">
        <f>J24/$N$10</f>
        <v>77.455462424242427</v>
      </c>
      <c r="P24" s="181">
        <f>0.1*C24</f>
        <v>9345.9</v>
      </c>
      <c r="Q24" s="181">
        <f>0.1*J24</f>
        <v>12780.151300000001</v>
      </c>
      <c r="R24" s="229"/>
    </row>
    <row r="25" spans="1:18">
      <c r="A25" s="257" t="s">
        <v>255</v>
      </c>
      <c r="B25" s="258" t="s">
        <v>264</v>
      </c>
      <c r="C25" s="259">
        <v>99254</v>
      </c>
      <c r="D25" s="246">
        <v>2162</v>
      </c>
      <c r="E25" s="246">
        <f>C25+D25</f>
        <v>101416</v>
      </c>
      <c r="F25" s="181">
        <f>IF(E25&gt;$L$5,$N$5*(E25-$L$5)+$N$4*($L$5-$L$4)+$N$3*($L$4-$L$1),IF($L$5&gt;E25&gt;$L$4,$N$4*(E25-$L$4)+$N$3*($L$4-$L$1),0))</f>
        <v>12804.192000000001</v>
      </c>
      <c r="G25" s="247">
        <f>E25*$G$10</f>
        <v>20891.696</v>
      </c>
      <c r="H25" s="247">
        <f>E25/100*0.5</f>
        <v>507.08</v>
      </c>
      <c r="I25" s="247">
        <f>F25+G25+H25</f>
        <v>34202.968</v>
      </c>
      <c r="J25" s="246">
        <f>E25+I25</f>
        <v>135618.968</v>
      </c>
      <c r="K25" s="181">
        <f>J25/$K$10</f>
        <v>11301.580666666667</v>
      </c>
      <c r="L25" s="181">
        <f>J25/$L$10</f>
        <v>616.44985454545451</v>
      </c>
      <c r="M25" s="181">
        <f>J25/$M$10</f>
        <v>3082.2492727272725</v>
      </c>
      <c r="N25" s="181">
        <f>J25/$N$10</f>
        <v>82.193313939393931</v>
      </c>
      <c r="P25" s="181">
        <f>0.1*C25</f>
        <v>9925.4000000000015</v>
      </c>
      <c r="Q25" s="181">
        <f>0.1*J25</f>
        <v>13561.8968</v>
      </c>
      <c r="R25" s="229"/>
    </row>
    <row r="26" spans="1:18">
      <c r="A26" s="257" t="s">
        <v>255</v>
      </c>
      <c r="B26" s="258" t="s">
        <v>265</v>
      </c>
      <c r="C26" s="259">
        <v>99254</v>
      </c>
      <c r="D26" s="246">
        <v>2162</v>
      </c>
      <c r="E26" s="246">
        <f>C26+D26</f>
        <v>101416</v>
      </c>
      <c r="F26" s="181">
        <f>IF(E26&gt;$L$5,$N$5*(E26-$L$5)+$N$4*($L$5-$L$4)+$N$3*($L$4-$L$1),IF($L$5&gt;E26&gt;$L$4,$N$4*(E26-$L$4)+$N$3*($L$4-$L$1),0))</f>
        <v>12804.192000000001</v>
      </c>
      <c r="G26" s="247">
        <f>E26*$G$10</f>
        <v>20891.696</v>
      </c>
      <c r="H26" s="247">
        <f>E26/100*0.5</f>
        <v>507.08</v>
      </c>
      <c r="I26" s="247">
        <f>F26+G26+H26</f>
        <v>34202.968</v>
      </c>
      <c r="J26" s="246">
        <f>E26+I26</f>
        <v>135618.968</v>
      </c>
      <c r="K26" s="181">
        <f>J26/$K$10</f>
        <v>11301.580666666667</v>
      </c>
      <c r="L26" s="181">
        <f>J26/$L$10</f>
        <v>616.44985454545451</v>
      </c>
      <c r="M26" s="181">
        <f>J26/$M$10</f>
        <v>3082.2492727272725</v>
      </c>
      <c r="N26" s="181">
        <f>J26/$N$10</f>
        <v>82.193313939393931</v>
      </c>
      <c r="P26" s="181">
        <f>0.1*C26</f>
        <v>9925.4000000000015</v>
      </c>
      <c r="Q26" s="181">
        <f>0.1*J26</f>
        <v>13561.8968</v>
      </c>
      <c r="R26" s="229"/>
    </row>
    <row r="27" spans="1:18">
      <c r="A27" s="257" t="s">
        <v>255</v>
      </c>
      <c r="B27" s="258" t="s">
        <v>266</v>
      </c>
      <c r="C27" s="259">
        <v>99254</v>
      </c>
      <c r="D27" s="246">
        <v>2162</v>
      </c>
      <c r="E27" s="246">
        <f>C27+D27</f>
        <v>101416</v>
      </c>
      <c r="F27" s="181">
        <f>IF(E27&gt;$L$5,$N$5*(E27-$L$5)+$N$4*($L$5-$L$4)+$N$3*($L$4-$L$1),IF($L$5&gt;E27&gt;$L$4,$N$4*(E27-$L$4)+$N$3*($L$4-$L$1),0))</f>
        <v>12804.192000000001</v>
      </c>
      <c r="G27" s="247">
        <f>E27*$G$10</f>
        <v>20891.696</v>
      </c>
      <c r="H27" s="247">
        <f>E27/100*0.5</f>
        <v>507.08</v>
      </c>
      <c r="I27" s="247">
        <f>F27+G27+H27</f>
        <v>34202.968</v>
      </c>
      <c r="J27" s="246">
        <f>E27+I27</f>
        <v>135618.968</v>
      </c>
      <c r="K27" s="181">
        <f>J27/$K$10</f>
        <v>11301.580666666667</v>
      </c>
      <c r="L27" s="181">
        <f>J27/$L$10</f>
        <v>616.44985454545451</v>
      </c>
      <c r="M27" s="181">
        <f>J27/$M$10</f>
        <v>3082.2492727272725</v>
      </c>
      <c r="N27" s="181">
        <f>J27/$N$10</f>
        <v>82.193313939393931</v>
      </c>
      <c r="P27" s="181">
        <f>0.1*C27</f>
        <v>9925.4000000000015</v>
      </c>
      <c r="Q27" s="181">
        <f>0.1*J27</f>
        <v>13561.8968</v>
      </c>
      <c r="R27" s="229"/>
    </row>
    <row r="28" spans="1:18">
      <c r="A28" s="257" t="s">
        <v>255</v>
      </c>
      <c r="B28" s="258" t="s">
        <v>267</v>
      </c>
      <c r="C28" s="259">
        <v>99254</v>
      </c>
      <c r="D28" s="246">
        <v>2162</v>
      </c>
      <c r="E28" s="246">
        <f>C28+D28</f>
        <v>101416</v>
      </c>
      <c r="F28" s="181">
        <f>IF(E28&gt;$L$5,$N$5*(E28-$L$5)+$N$4*($L$5-$L$4)+$N$3*($L$4-$L$1),IF($L$5&gt;E28&gt;$L$4,$N$4*(E28-$L$4)+$N$3*($L$4-$L$1),0))</f>
        <v>12804.192000000001</v>
      </c>
      <c r="G28" s="247">
        <f>E28*$G$10</f>
        <v>20891.696</v>
      </c>
      <c r="H28" s="247">
        <f>E28/100*0.5</f>
        <v>507.08</v>
      </c>
      <c r="I28" s="247">
        <f>F28+G28+H28</f>
        <v>34202.968</v>
      </c>
      <c r="J28" s="246">
        <f>E28+I28</f>
        <v>135618.968</v>
      </c>
      <c r="K28" s="181">
        <f>J28/$K$10</f>
        <v>11301.580666666667</v>
      </c>
      <c r="L28" s="181">
        <f>J28/$L$10</f>
        <v>616.44985454545451</v>
      </c>
      <c r="M28" s="181">
        <f>J28/$M$10</f>
        <v>3082.2492727272725</v>
      </c>
      <c r="N28" s="181">
        <f>J28/$N$10</f>
        <v>82.193313939393931</v>
      </c>
      <c r="P28" s="181">
        <f>0.1*C28</f>
        <v>9925.4000000000015</v>
      </c>
      <c r="Q28" s="181">
        <f>0.1*J28</f>
        <v>13561.8968</v>
      </c>
      <c r="R28" s="229"/>
    </row>
    <row r="29" spans="1:18">
      <c r="A29" s="257" t="s">
        <v>255</v>
      </c>
      <c r="B29" s="258" t="s">
        <v>268</v>
      </c>
      <c r="C29" s="259">
        <v>99254</v>
      </c>
      <c r="D29" s="246">
        <v>2162</v>
      </c>
      <c r="E29" s="246">
        <f>C29+D29</f>
        <v>101416</v>
      </c>
      <c r="F29" s="181">
        <f>IF(E29&gt;$L$5,$N$5*(E29-$L$5)+$N$4*($L$5-$L$4)+$N$3*($L$4-$L$1),IF($L$5&gt;E29&gt;$L$4,$N$4*(E29-$L$4)+$N$3*($L$4-$L$1),0))</f>
        <v>12804.192000000001</v>
      </c>
      <c r="G29" s="247">
        <f>E29*$G$10</f>
        <v>20891.696</v>
      </c>
      <c r="H29" s="247">
        <f>E29/100*0.5</f>
        <v>507.08</v>
      </c>
      <c r="I29" s="247">
        <f>F29+G29+H29</f>
        <v>34202.968</v>
      </c>
      <c r="J29" s="246">
        <f>E29+I29</f>
        <v>135618.968</v>
      </c>
      <c r="K29" s="181">
        <f>J29/$K$10</f>
        <v>11301.580666666667</v>
      </c>
      <c r="L29" s="181">
        <f>J29/$L$10</f>
        <v>616.44985454545451</v>
      </c>
      <c r="M29" s="181">
        <f>J29/$M$10</f>
        <v>3082.2492727272725</v>
      </c>
      <c r="N29" s="181">
        <f>J29/$N$10</f>
        <v>82.193313939393931</v>
      </c>
      <c r="P29" s="181">
        <f>0.1*C29</f>
        <v>9925.4000000000015</v>
      </c>
      <c r="Q29" s="181">
        <f>0.1*J29</f>
        <v>13561.8968</v>
      </c>
      <c r="R29" s="229"/>
    </row>
    <row r="30" spans="1:18">
      <c r="A30" s="257" t="s">
        <v>255</v>
      </c>
      <c r="B30" s="258" t="s">
        <v>269</v>
      </c>
      <c r="C30" s="259">
        <v>105042</v>
      </c>
      <c r="D30" s="246">
        <v>2162</v>
      </c>
      <c r="E30" s="246">
        <f>C30+D30</f>
        <v>107204</v>
      </c>
      <c r="F30" s="181">
        <f>IF(E30&gt;$L$5,$N$5*(E30-$L$5)+$N$4*($L$5-$L$4)+$N$3*($L$4-$L$1),IF($L$5&gt;E30&gt;$L$4,$N$4*(E30-$L$4)+$N$3*($L$4-$L$1),0))</f>
        <v>13602.936000000002</v>
      </c>
      <c r="G30" s="247">
        <f>E30*$G$10</f>
        <v>22084.023999999998</v>
      </c>
      <c r="H30" s="247">
        <f>E30/100*0.5</f>
        <v>536.02</v>
      </c>
      <c r="I30" s="247">
        <f>F30+G30+H30</f>
        <v>36222.979999999996</v>
      </c>
      <c r="J30" s="246">
        <f>E30+I30</f>
        <v>143426.97999999998</v>
      </c>
      <c r="K30" s="181">
        <f>J30/$K$10</f>
        <v>11952.248333333331</v>
      </c>
      <c r="L30" s="181">
        <f>J30/$L$10</f>
        <v>651.94081818181814</v>
      </c>
      <c r="M30" s="181">
        <f>J30/$M$10</f>
        <v>3259.7040909090906</v>
      </c>
      <c r="N30" s="181">
        <f>J30/$N$10</f>
        <v>86.925442424242419</v>
      </c>
      <c r="P30" s="181">
        <f>0.1*C30</f>
        <v>10504.2</v>
      </c>
      <c r="Q30" s="181">
        <f>0.1*J30</f>
        <v>14342.697999999999</v>
      </c>
      <c r="R30" s="229"/>
    </row>
    <row r="31" spans="1:18">
      <c r="A31" s="257"/>
      <c r="B31" s="258"/>
      <c r="C31" s="259"/>
      <c r="D31" s="246"/>
      <c r="E31" s="246"/>
      <c r="F31" s="181"/>
      <c r="G31" s="247"/>
      <c r="H31" s="247"/>
      <c r="I31" s="247"/>
      <c r="J31" s="246"/>
      <c r="K31" s="181"/>
      <c r="L31" s="181"/>
      <c r="M31" s="181"/>
      <c r="N31" s="181"/>
      <c r="P31" s="181"/>
      <c r="Q31" s="181"/>
      <c r="R31" s="229"/>
    </row>
    <row r="32" spans="1:18">
      <c r="A32" s="257"/>
      <c r="B32" s="258"/>
      <c r="C32" s="259"/>
      <c r="D32" s="246"/>
      <c r="E32" s="246"/>
      <c r="F32" s="181"/>
      <c r="G32" s="247"/>
      <c r="H32" s="247"/>
      <c r="I32" s="247"/>
      <c r="J32" s="246"/>
      <c r="K32" s="181"/>
      <c r="L32" s="181"/>
      <c r="M32" s="181"/>
      <c r="N32" s="181"/>
      <c r="P32" s="181"/>
      <c r="Q32" s="181"/>
      <c r="R32" s="229"/>
    </row>
    <row r="33" spans="1:18">
      <c r="A33" s="257" t="s">
        <v>270</v>
      </c>
      <c r="B33" s="258" t="s">
        <v>200</v>
      </c>
      <c r="C33" s="259">
        <v>78521</v>
      </c>
      <c r="D33" s="246">
        <v>2162</v>
      </c>
      <c r="E33" s="246">
        <f>C33+D33</f>
        <v>80683</v>
      </c>
      <c r="F33" s="181">
        <f>IF(E33&gt;$L$5,$N$5*(E33-$L$5)+$N$4*($L$5-$L$4)+$N$3*($L$4-$L$1),IF($L$5&gt;E33&gt;$L$4,$N$4*(E33-$L$4)+$N$3*($L$4-$L$1),0))</f>
        <v>9943.038</v>
      </c>
      <c r="G33" s="247">
        <f>E33*$G$10</f>
        <v>16620.698</v>
      </c>
      <c r="H33" s="247">
        <f>E33/100*0.5</f>
        <v>403.415</v>
      </c>
      <c r="I33" s="247">
        <f>F33+G33+H33</f>
        <v>26967.151</v>
      </c>
      <c r="J33" s="246">
        <f>E33+I33</f>
        <v>107650.151</v>
      </c>
      <c r="K33" s="181">
        <f>J33/$K$10</f>
        <v>8970.8459166666671</v>
      </c>
      <c r="L33" s="181">
        <f>J33/$L$10</f>
        <v>489.31886818181817</v>
      </c>
      <c r="M33" s="181">
        <f>J33/$M$10</f>
        <v>2446.594340909091</v>
      </c>
      <c r="N33" s="181">
        <f>J33/$N$10</f>
        <v>65.242515757575759</v>
      </c>
      <c r="P33" s="181">
        <f>0.1*C33</f>
        <v>7852.1</v>
      </c>
      <c r="Q33" s="181">
        <f>0.1*J33</f>
        <v>10765.0151</v>
      </c>
      <c r="R33" s="229"/>
    </row>
    <row r="34" spans="1:18">
      <c r="A34" s="257" t="s">
        <v>270</v>
      </c>
      <c r="B34" s="258" t="s">
        <v>204</v>
      </c>
      <c r="C34" s="259">
        <v>80352</v>
      </c>
      <c r="D34" s="246">
        <v>2162</v>
      </c>
      <c r="E34" s="246">
        <f>C34+D34</f>
        <v>82514</v>
      </c>
      <c r="F34" s="181">
        <f>IF(E34&gt;$L$5,$N$5*(E34-$L$5)+$N$4*($L$5-$L$4)+$N$3*($L$4-$L$1),IF($L$5&gt;E34&gt;$L$4,$N$4*(E34-$L$4)+$N$3*($L$4-$L$1),0))</f>
        <v>10195.716</v>
      </c>
      <c r="G34" s="247">
        <f>E34*$G$10</f>
        <v>16997.884</v>
      </c>
      <c r="H34" s="247">
        <f>E34/100*0.5</f>
        <v>412.57</v>
      </c>
      <c r="I34" s="247">
        <f>F34+G34+H34</f>
        <v>27606.17</v>
      </c>
      <c r="J34" s="246">
        <f>E34+I34</f>
        <v>110120.17</v>
      </c>
      <c r="K34" s="181">
        <f>J34/$K$10</f>
        <v>9176.6808333333338</v>
      </c>
      <c r="L34" s="181">
        <f>J34/$L$10</f>
        <v>500.54622727272726</v>
      </c>
      <c r="M34" s="181">
        <f>J34/$M$10</f>
        <v>2502.7311363636363</v>
      </c>
      <c r="N34" s="181">
        <f>J34/$N$10</f>
        <v>66.739496969696972</v>
      </c>
      <c r="P34" s="181">
        <f>0.1*C34</f>
        <v>8035.2000000000007</v>
      </c>
      <c r="Q34" s="181">
        <f>0.1*J34</f>
        <v>11012.017</v>
      </c>
      <c r="R34" s="229"/>
    </row>
    <row r="35" spans="1:18">
      <c r="A35" s="257" t="s">
        <v>270</v>
      </c>
      <c r="B35" s="258" t="s">
        <v>212</v>
      </c>
      <c r="C35" s="259">
        <v>85232</v>
      </c>
      <c r="D35" s="246">
        <v>2162</v>
      </c>
      <c r="E35" s="246">
        <f>C35+D35</f>
        <v>87394</v>
      </c>
      <c r="F35" s="181">
        <f>IF(E35&gt;$L$5,$N$5*(E35-$L$5)+$N$4*($L$5-$L$4)+$N$3*($L$4-$L$1),IF($L$5&gt;E35&gt;$L$4,$N$4*(E35-$L$4)+$N$3*($L$4-$L$1),0))</f>
        <v>10869.156</v>
      </c>
      <c r="G35" s="247">
        <f>E35*$G$10</f>
        <v>18003.164</v>
      </c>
      <c r="H35" s="247">
        <f>E35/100*0.5</f>
        <v>436.97</v>
      </c>
      <c r="I35" s="247">
        <f>F35+G35+H35</f>
        <v>29309.29</v>
      </c>
      <c r="J35" s="246">
        <f>E35+I35</f>
        <v>116703.29000000001</v>
      </c>
      <c r="K35" s="181">
        <f>J35/$K$10</f>
        <v>9725.274166666668</v>
      </c>
      <c r="L35" s="181">
        <f>J35/$L$10</f>
        <v>530.4695</v>
      </c>
      <c r="M35" s="181">
        <f>J35/$M$10</f>
        <v>2652.3475000000003</v>
      </c>
      <c r="N35" s="181">
        <f>J35/$N$10</f>
        <v>70.729266666666675</v>
      </c>
      <c r="P35" s="181">
        <f>0.1*C35</f>
        <v>8523.2</v>
      </c>
      <c r="Q35" s="181">
        <f>0.1*J35</f>
        <v>11670.329000000002</v>
      </c>
      <c r="R35" s="229"/>
    </row>
    <row r="36" spans="1:18">
      <c r="A36" s="257" t="s">
        <v>270</v>
      </c>
      <c r="B36" s="258" t="s">
        <v>214</v>
      </c>
      <c r="C36" s="259">
        <v>87665</v>
      </c>
      <c r="D36" s="246">
        <v>2162</v>
      </c>
      <c r="E36" s="246">
        <f>C36+D36</f>
        <v>89827</v>
      </c>
      <c r="F36" s="181">
        <f>IF(E36&gt;$L$5,$N$5*(E36-$L$5)+$N$4*($L$5-$L$4)+$N$3*($L$4-$L$1),IF($L$5&gt;E36&gt;$L$4,$N$4*(E36-$L$4)+$N$3*($L$4-$L$1),0))</f>
        <v>11204.91</v>
      </c>
      <c r="G36" s="247">
        <f>E36*$G$10</f>
        <v>18504.361999999997</v>
      </c>
      <c r="H36" s="247">
        <f>E36/100*0.5</f>
        <v>449.135</v>
      </c>
      <c r="I36" s="247">
        <f>F36+G36+H36</f>
        <v>30158.406999999996</v>
      </c>
      <c r="J36" s="246">
        <f>E36+I36</f>
        <v>119985.40699999999</v>
      </c>
      <c r="K36" s="181">
        <f>J36/$K$10</f>
        <v>9998.7839166666654</v>
      </c>
      <c r="L36" s="181">
        <f>J36/$L$10</f>
        <v>545.38821363636362</v>
      </c>
      <c r="M36" s="181">
        <f>J36/$M$10</f>
        <v>2726.9410681818181</v>
      </c>
      <c r="N36" s="181">
        <f>J36/$N$10</f>
        <v>72.718428484848474</v>
      </c>
      <c r="P36" s="181">
        <f>0.1*C36</f>
        <v>8766.5</v>
      </c>
      <c r="Q36" s="181">
        <f>0.1*J36</f>
        <v>11998.5407</v>
      </c>
      <c r="R36" s="229"/>
    </row>
    <row r="37" spans="1:18">
      <c r="A37" s="257" t="s">
        <v>270</v>
      </c>
      <c r="B37" s="258" t="s">
        <v>220</v>
      </c>
      <c r="C37" s="259">
        <v>87665</v>
      </c>
      <c r="D37" s="246">
        <v>2162</v>
      </c>
      <c r="E37" s="246">
        <f>C37+D37</f>
        <v>89827</v>
      </c>
      <c r="F37" s="181">
        <f>IF(E37&gt;$L$5,$N$5*(E37-$L$5)+$N$4*($L$5-$L$4)+$N$3*($L$4-$L$1),IF($L$5&gt;E37&gt;$L$4,$N$4*(E37-$L$4)+$N$3*($L$4-$L$1),0))</f>
        <v>11204.91</v>
      </c>
      <c r="G37" s="247">
        <f>E37*$G$10</f>
        <v>18504.361999999997</v>
      </c>
      <c r="H37" s="247">
        <f>E37/100*0.5</f>
        <v>449.135</v>
      </c>
      <c r="I37" s="247">
        <f>F37+G37+H37</f>
        <v>30158.406999999996</v>
      </c>
      <c r="J37" s="246">
        <f>E37+I37</f>
        <v>119985.40699999999</v>
      </c>
      <c r="K37" s="181">
        <f>J37/$K$10</f>
        <v>9998.7839166666654</v>
      </c>
      <c r="L37" s="181">
        <f>J37/$L$10</f>
        <v>545.38821363636362</v>
      </c>
      <c r="M37" s="181">
        <f>J37/$M$10</f>
        <v>2726.9410681818181</v>
      </c>
      <c r="N37" s="181">
        <f>J37/$N$10</f>
        <v>72.718428484848474</v>
      </c>
      <c r="P37" s="181">
        <f>0.1*C37</f>
        <v>8766.5</v>
      </c>
      <c r="Q37" s="181">
        <f>0.1*J37</f>
        <v>11998.5407</v>
      </c>
      <c r="R37" s="229"/>
    </row>
    <row r="38" spans="1:18">
      <c r="A38" s="257" t="s">
        <v>270</v>
      </c>
      <c r="B38" s="258" t="s">
        <v>221</v>
      </c>
      <c r="C38" s="259">
        <v>87665</v>
      </c>
      <c r="D38" s="246">
        <v>2162</v>
      </c>
      <c r="E38" s="246">
        <f>C38+D38</f>
        <v>89827</v>
      </c>
      <c r="F38" s="181">
        <f>IF(E38&gt;$L$5,$N$5*(E38-$L$5)+$N$4*($L$5-$L$4)+$N$3*($L$4-$L$1),IF($L$5&gt;E38&gt;$L$4,$N$4*(E38-$L$4)+$N$3*($L$4-$L$1),0))</f>
        <v>11204.91</v>
      </c>
      <c r="G38" s="247">
        <f>E38*$G$10</f>
        <v>18504.361999999997</v>
      </c>
      <c r="H38" s="247">
        <f>E38/100*0.5</f>
        <v>449.135</v>
      </c>
      <c r="I38" s="247">
        <f>F38+G38+H38</f>
        <v>30158.406999999996</v>
      </c>
      <c r="J38" s="246">
        <f>E38+I38</f>
        <v>119985.40699999999</v>
      </c>
      <c r="K38" s="181">
        <f>J38/$K$10</f>
        <v>9998.7839166666654</v>
      </c>
      <c r="L38" s="181">
        <f>J38/$L$10</f>
        <v>545.38821363636362</v>
      </c>
      <c r="M38" s="181">
        <f>J38/$M$10</f>
        <v>2726.9410681818181</v>
      </c>
      <c r="N38" s="181">
        <f>J38/$N$10</f>
        <v>72.718428484848474</v>
      </c>
      <c r="P38" s="181">
        <f>0.1*C38</f>
        <v>8766.5</v>
      </c>
      <c r="Q38" s="181">
        <f>0.1*J38</f>
        <v>11998.5407</v>
      </c>
      <c r="R38" s="229"/>
    </row>
    <row r="39" spans="1:18">
      <c r="A39" s="257" t="s">
        <v>270</v>
      </c>
      <c r="B39" s="258" t="s">
        <v>257</v>
      </c>
      <c r="C39" s="259">
        <v>87665</v>
      </c>
      <c r="D39" s="246">
        <v>2162</v>
      </c>
      <c r="E39" s="246">
        <f>C39+D39</f>
        <v>89827</v>
      </c>
      <c r="F39" s="181">
        <f>IF(E39&gt;$L$5,$N$5*(E39-$L$5)+$N$4*($L$5-$L$4)+$N$3*($L$4-$L$1),IF($L$5&gt;E39&gt;$L$4,$N$4*(E39-$L$4)+$N$3*($L$4-$L$1),0))</f>
        <v>11204.91</v>
      </c>
      <c r="G39" s="247">
        <f>E39*$G$10</f>
        <v>18504.361999999997</v>
      </c>
      <c r="H39" s="247">
        <f>E39/100*0.5</f>
        <v>449.135</v>
      </c>
      <c r="I39" s="247">
        <f>F39+G39+H39</f>
        <v>30158.406999999996</v>
      </c>
      <c r="J39" s="246">
        <f>E39+I39</f>
        <v>119985.40699999999</v>
      </c>
      <c r="K39" s="181">
        <f>J39/$K$10</f>
        <v>9998.7839166666654</v>
      </c>
      <c r="L39" s="181">
        <f>J39/$L$10</f>
        <v>545.38821363636362</v>
      </c>
      <c r="M39" s="181">
        <f>J39/$M$10</f>
        <v>2726.9410681818181</v>
      </c>
      <c r="N39" s="181">
        <f>J39/$N$10</f>
        <v>72.718428484848474</v>
      </c>
      <c r="P39" s="181">
        <f>0.1*C39</f>
        <v>8766.5</v>
      </c>
      <c r="Q39" s="181">
        <f>0.1*J39</f>
        <v>11998.5407</v>
      </c>
      <c r="R39" s="229"/>
    </row>
    <row r="40" spans="1:18">
      <c r="A40" s="257" t="s">
        <v>270</v>
      </c>
      <c r="B40" s="258" t="s">
        <v>258</v>
      </c>
      <c r="C40" s="259">
        <v>87665</v>
      </c>
      <c r="D40" s="246">
        <v>2162</v>
      </c>
      <c r="E40" s="246">
        <f>C40+D40</f>
        <v>89827</v>
      </c>
      <c r="F40" s="181">
        <f>IF(E40&gt;$L$5,$N$5*(E40-$L$5)+$N$4*($L$5-$L$4)+$N$3*($L$4-$L$1),IF($L$5&gt;E40&gt;$L$4,$N$4*(E40-$L$4)+$N$3*($L$4-$L$1),0))</f>
        <v>11204.91</v>
      </c>
      <c r="G40" s="247">
        <f>E40*$G$10</f>
        <v>18504.361999999997</v>
      </c>
      <c r="H40" s="247">
        <f>E40/100*0.5</f>
        <v>449.135</v>
      </c>
      <c r="I40" s="247">
        <f>F40+G40+H40</f>
        <v>30158.406999999996</v>
      </c>
      <c r="J40" s="246">
        <f>E40+I40</f>
        <v>119985.40699999999</v>
      </c>
      <c r="K40" s="181">
        <f>J40/$K$10</f>
        <v>9998.7839166666654</v>
      </c>
      <c r="L40" s="181">
        <f>J40/$L$10</f>
        <v>545.38821363636362</v>
      </c>
      <c r="M40" s="181">
        <f>J40/$M$10</f>
        <v>2726.9410681818181</v>
      </c>
      <c r="N40" s="181">
        <f>J40/$N$10</f>
        <v>72.718428484848474</v>
      </c>
      <c r="P40" s="181">
        <f>0.1*C40</f>
        <v>8766.5</v>
      </c>
      <c r="Q40" s="181">
        <f>0.1*J40</f>
        <v>11998.5407</v>
      </c>
      <c r="R40" s="229"/>
    </row>
    <row r="41" spans="1:18">
      <c r="A41" s="257" t="s">
        <v>270</v>
      </c>
      <c r="B41" s="258" t="s">
        <v>259</v>
      </c>
      <c r="C41" s="259">
        <v>93459</v>
      </c>
      <c r="D41" s="246">
        <v>2162</v>
      </c>
      <c r="E41" s="246">
        <f>C41+D41</f>
        <v>95621</v>
      </c>
      <c r="F41" s="181">
        <f>IF(E41&gt;$L$5,$N$5*(E41-$L$5)+$N$4*($L$5-$L$4)+$N$3*($L$4-$L$1),IF($L$5&gt;E41&gt;$L$4,$N$4*(E41-$L$4)+$N$3*($L$4-$L$1),0))</f>
        <v>12004.482</v>
      </c>
      <c r="G41" s="247">
        <f>E41*$G$10</f>
        <v>19697.926</v>
      </c>
      <c r="H41" s="247">
        <f>E41/100*0.5</f>
        <v>478.105</v>
      </c>
      <c r="I41" s="247">
        <f>F41+G41+H41</f>
        <v>32180.513</v>
      </c>
      <c r="J41" s="246">
        <f>E41+I41</f>
        <v>127801.513</v>
      </c>
      <c r="K41" s="181">
        <f>J41/$K$10</f>
        <v>10650.126083333334</v>
      </c>
      <c r="L41" s="181">
        <f>J41/$L$10</f>
        <v>580.91596818181824</v>
      </c>
      <c r="M41" s="181">
        <f>J41/$M$10</f>
        <v>2904.5798409090912</v>
      </c>
      <c r="N41" s="181">
        <f>J41/$N$10</f>
        <v>77.455462424242427</v>
      </c>
      <c r="P41" s="181">
        <f>0.1*C41</f>
        <v>9345.9</v>
      </c>
      <c r="Q41" s="181">
        <f>0.1*J41</f>
        <v>12780.151300000001</v>
      </c>
      <c r="R41" s="229"/>
    </row>
    <row r="42" spans="1:18">
      <c r="A42" s="257" t="s">
        <v>270</v>
      </c>
      <c r="B42" s="258" t="s">
        <v>260</v>
      </c>
      <c r="C42" s="259">
        <v>93459</v>
      </c>
      <c r="D42" s="246">
        <v>2162</v>
      </c>
      <c r="E42" s="246">
        <f>C42+D42</f>
        <v>95621</v>
      </c>
      <c r="F42" s="181">
        <f>IF(E42&gt;$L$5,$N$5*(E42-$L$5)+$N$4*($L$5-$L$4)+$N$3*($L$4-$L$1),IF($L$5&gt;E42&gt;$L$4,$N$4*(E42-$L$4)+$N$3*($L$4-$L$1),0))</f>
        <v>12004.482</v>
      </c>
      <c r="G42" s="247">
        <f>E42*$G$10</f>
        <v>19697.926</v>
      </c>
      <c r="H42" s="247">
        <f>E42/100*0.5</f>
        <v>478.105</v>
      </c>
      <c r="I42" s="247">
        <f>F42+G42+H42</f>
        <v>32180.513</v>
      </c>
      <c r="J42" s="246">
        <f>E42+I42</f>
        <v>127801.513</v>
      </c>
      <c r="K42" s="181">
        <f>J42/$K$10</f>
        <v>10650.126083333334</v>
      </c>
      <c r="L42" s="181">
        <f>J42/$L$10</f>
        <v>580.91596818181824</v>
      </c>
      <c r="M42" s="181">
        <f>J42/$M$10</f>
        <v>2904.5798409090912</v>
      </c>
      <c r="N42" s="181">
        <f>J42/$N$10</f>
        <v>77.455462424242427</v>
      </c>
      <c r="P42" s="181">
        <f>0.1*C42</f>
        <v>9345.9</v>
      </c>
      <c r="Q42" s="181">
        <f>0.1*J42</f>
        <v>12780.151300000001</v>
      </c>
      <c r="R42" s="229"/>
    </row>
    <row r="43" spans="1:18">
      <c r="A43" s="257" t="s">
        <v>270</v>
      </c>
      <c r="B43" s="258" t="s">
        <v>261</v>
      </c>
      <c r="C43" s="259">
        <v>93459</v>
      </c>
      <c r="D43" s="246">
        <v>2162</v>
      </c>
      <c r="E43" s="246">
        <f>C43+D43</f>
        <v>95621</v>
      </c>
      <c r="F43" s="181">
        <f>IF(E43&gt;$L$5,$N$5*(E43-$L$5)+$N$4*($L$5-$L$4)+$N$3*($L$4-$L$1),IF($L$5&gt;E43&gt;$L$4,$N$4*(E43-$L$4)+$N$3*($L$4-$L$1),0))</f>
        <v>12004.482</v>
      </c>
      <c r="G43" s="247">
        <f>E43*$G$10</f>
        <v>19697.926</v>
      </c>
      <c r="H43" s="247">
        <f>E43/100*0.5</f>
        <v>478.105</v>
      </c>
      <c r="I43" s="247">
        <f>F43+G43+H43</f>
        <v>32180.513</v>
      </c>
      <c r="J43" s="246">
        <f>E43+I43</f>
        <v>127801.513</v>
      </c>
      <c r="K43" s="181">
        <f>J43/$K$10</f>
        <v>10650.126083333334</v>
      </c>
      <c r="L43" s="181">
        <f>J43/$L$10</f>
        <v>580.91596818181824</v>
      </c>
      <c r="M43" s="181">
        <f>J43/$M$10</f>
        <v>2904.5798409090912</v>
      </c>
      <c r="N43" s="181">
        <f>J43/$N$10</f>
        <v>77.455462424242427</v>
      </c>
      <c r="P43" s="181">
        <f>0.1*C43</f>
        <v>9345.9</v>
      </c>
      <c r="Q43" s="181">
        <f>0.1*J43</f>
        <v>12780.151300000001</v>
      </c>
      <c r="R43" s="229"/>
    </row>
    <row r="44" spans="1:18">
      <c r="A44" s="257" t="s">
        <v>270</v>
      </c>
      <c r="B44" s="258" t="s">
        <v>262</v>
      </c>
      <c r="C44" s="259">
        <v>93459</v>
      </c>
      <c r="D44" s="246">
        <v>2162</v>
      </c>
      <c r="E44" s="246">
        <f>C44+D44</f>
        <v>95621</v>
      </c>
      <c r="F44" s="181">
        <f>IF(E44&gt;$L$5,$N$5*(E44-$L$5)+$N$4*($L$5-$L$4)+$N$3*($L$4-$L$1),IF($L$5&gt;E44&gt;$L$4,$N$4*(E44-$L$4)+$N$3*($L$4-$L$1),0))</f>
        <v>12004.482</v>
      </c>
      <c r="G44" s="247">
        <f>E44*$G$10</f>
        <v>19697.926</v>
      </c>
      <c r="H44" s="247">
        <f>E44/100*0.5</f>
        <v>478.105</v>
      </c>
      <c r="I44" s="247">
        <f>F44+G44+H44</f>
        <v>32180.513</v>
      </c>
      <c r="J44" s="246">
        <f>E44+I44</f>
        <v>127801.513</v>
      </c>
      <c r="K44" s="181">
        <f>J44/$K$10</f>
        <v>10650.126083333334</v>
      </c>
      <c r="L44" s="181">
        <f>J44/$L$10</f>
        <v>580.91596818181824</v>
      </c>
      <c r="M44" s="181">
        <f>J44/$M$10</f>
        <v>2904.5798409090912</v>
      </c>
      <c r="N44" s="181">
        <f>J44/$N$10</f>
        <v>77.455462424242427</v>
      </c>
      <c r="P44" s="181">
        <f>0.1*C44</f>
        <v>9345.9</v>
      </c>
      <c r="Q44" s="181">
        <f>0.1*J44</f>
        <v>12780.151300000001</v>
      </c>
      <c r="R44" s="229"/>
    </row>
    <row r="45" spans="1:18">
      <c r="A45" s="257" t="s">
        <v>270</v>
      </c>
      <c r="B45" s="258" t="s">
        <v>263</v>
      </c>
      <c r="C45" s="259">
        <v>93459</v>
      </c>
      <c r="D45" s="246">
        <v>2162</v>
      </c>
      <c r="E45" s="246">
        <f>C45+D45</f>
        <v>95621</v>
      </c>
      <c r="F45" s="181">
        <f>IF(E45&gt;$L$5,$N$5*(E45-$L$5)+$N$4*($L$5-$L$4)+$N$3*($L$4-$L$1),IF($L$5&gt;E45&gt;$L$4,$N$4*(E45-$L$4)+$N$3*($L$4-$L$1),0))</f>
        <v>12004.482</v>
      </c>
      <c r="G45" s="247">
        <f>E45*$G$10</f>
        <v>19697.926</v>
      </c>
      <c r="H45" s="247">
        <f>E45/100*0.5</f>
        <v>478.105</v>
      </c>
      <c r="I45" s="247">
        <f>F45+G45+H45</f>
        <v>32180.513</v>
      </c>
      <c r="J45" s="246">
        <f>E45+I45</f>
        <v>127801.513</v>
      </c>
      <c r="K45" s="181">
        <f>J45/$K$10</f>
        <v>10650.126083333334</v>
      </c>
      <c r="L45" s="181">
        <f>J45/$L$10</f>
        <v>580.91596818181824</v>
      </c>
      <c r="M45" s="181">
        <f>J45/$M$10</f>
        <v>2904.5798409090912</v>
      </c>
      <c r="N45" s="181">
        <f>J45/$N$10</f>
        <v>77.455462424242427</v>
      </c>
      <c r="P45" s="181">
        <f>0.1*C45</f>
        <v>9345.9</v>
      </c>
      <c r="Q45" s="181">
        <f>0.1*J45</f>
        <v>12780.151300000001</v>
      </c>
      <c r="R45" s="229"/>
    </row>
    <row r="46" spans="1:18">
      <c r="A46" s="257" t="s">
        <v>270</v>
      </c>
      <c r="B46" s="258" t="s">
        <v>264</v>
      </c>
      <c r="C46" s="259">
        <v>99254</v>
      </c>
      <c r="D46" s="246">
        <v>2162</v>
      </c>
      <c r="E46" s="246">
        <f>C46+D46</f>
        <v>101416</v>
      </c>
      <c r="F46" s="181">
        <f>IF(E46&gt;$L$5,$N$5*(E46-$L$5)+$N$4*($L$5-$L$4)+$N$3*($L$4-$L$1),IF($L$5&gt;E46&gt;$L$4,$N$4*(E46-$L$4)+$N$3*($L$4-$L$1),0))</f>
        <v>12804.192000000001</v>
      </c>
      <c r="G46" s="247">
        <f>E46*$G$10</f>
        <v>20891.696</v>
      </c>
      <c r="H46" s="247">
        <f>E46/100*0.5</f>
        <v>507.08</v>
      </c>
      <c r="I46" s="247">
        <f>F46+G46+H46</f>
        <v>34202.968</v>
      </c>
      <c r="J46" s="246">
        <f>E46+I46</f>
        <v>135618.968</v>
      </c>
      <c r="K46" s="181">
        <f>J46/$K$10</f>
        <v>11301.580666666667</v>
      </c>
      <c r="L46" s="181">
        <f>J46/$L$10</f>
        <v>616.44985454545451</v>
      </c>
      <c r="M46" s="181">
        <f>J46/$M$10</f>
        <v>3082.2492727272725</v>
      </c>
      <c r="N46" s="181">
        <f>J46/$N$10</f>
        <v>82.193313939393931</v>
      </c>
      <c r="P46" s="181">
        <f>0.1*C46</f>
        <v>9925.4000000000015</v>
      </c>
      <c r="Q46" s="181">
        <f>0.1*J46</f>
        <v>13561.8968</v>
      </c>
      <c r="R46" s="229"/>
    </row>
    <row r="47" spans="1:18">
      <c r="A47" s="257" t="s">
        <v>270</v>
      </c>
      <c r="B47" s="258" t="s">
        <v>265</v>
      </c>
      <c r="C47" s="259">
        <v>99254</v>
      </c>
      <c r="D47" s="246">
        <v>2162</v>
      </c>
      <c r="E47" s="246">
        <f>C47+D47</f>
        <v>101416</v>
      </c>
      <c r="F47" s="181">
        <f>IF(E47&gt;$L$5,$N$5*(E47-$L$5)+$N$4*($L$5-$L$4)+$N$3*($L$4-$L$1),IF($L$5&gt;E47&gt;$L$4,$N$4*(E47-$L$4)+$N$3*($L$4-$L$1),0))</f>
        <v>12804.192000000001</v>
      </c>
      <c r="G47" s="247">
        <f>E47*$G$10</f>
        <v>20891.696</v>
      </c>
      <c r="H47" s="247">
        <f>E47/100*0.5</f>
        <v>507.08</v>
      </c>
      <c r="I47" s="247">
        <f>F47+G47+H47</f>
        <v>34202.968</v>
      </c>
      <c r="J47" s="246">
        <f>E47+I47</f>
        <v>135618.968</v>
      </c>
      <c r="K47" s="181">
        <f>J47/$K$10</f>
        <v>11301.580666666667</v>
      </c>
      <c r="L47" s="181">
        <f>J47/$L$10</f>
        <v>616.44985454545451</v>
      </c>
      <c r="M47" s="181">
        <f>J47/$M$10</f>
        <v>3082.2492727272725</v>
      </c>
      <c r="N47" s="181">
        <f>J47/$N$10</f>
        <v>82.193313939393931</v>
      </c>
      <c r="P47" s="181">
        <f>0.1*C47</f>
        <v>9925.4000000000015</v>
      </c>
      <c r="Q47" s="181">
        <f>0.1*J47</f>
        <v>13561.8968</v>
      </c>
      <c r="R47" s="229"/>
    </row>
    <row r="48" spans="1:18">
      <c r="A48" s="257" t="s">
        <v>270</v>
      </c>
      <c r="B48" s="258" t="s">
        <v>266</v>
      </c>
      <c r="C48" s="259">
        <v>99254</v>
      </c>
      <c r="D48" s="246">
        <v>2162</v>
      </c>
      <c r="E48" s="246">
        <f>C48+D48</f>
        <v>101416</v>
      </c>
      <c r="F48" s="181">
        <f>IF(E48&gt;$L$5,$N$5*(E48-$L$5)+$N$4*($L$5-$L$4)+$N$3*($L$4-$L$1),IF($L$5&gt;E48&gt;$L$4,$N$4*(E48-$L$4)+$N$3*($L$4-$L$1),0))</f>
        <v>12804.192000000001</v>
      </c>
      <c r="G48" s="247">
        <f>E48*$G$10</f>
        <v>20891.696</v>
      </c>
      <c r="H48" s="247">
        <f>E48/100*0.5</f>
        <v>507.08</v>
      </c>
      <c r="I48" s="247">
        <f>F48+G48+H48</f>
        <v>34202.968</v>
      </c>
      <c r="J48" s="246">
        <f>E48+I48</f>
        <v>135618.968</v>
      </c>
      <c r="K48" s="181">
        <f>J48/$K$10</f>
        <v>11301.580666666667</v>
      </c>
      <c r="L48" s="181">
        <f>J48/$L$10</f>
        <v>616.44985454545451</v>
      </c>
      <c r="M48" s="181">
        <f>J48/$M$10</f>
        <v>3082.2492727272725</v>
      </c>
      <c r="N48" s="181">
        <f>J48/$N$10</f>
        <v>82.193313939393931</v>
      </c>
      <c r="P48" s="181">
        <f>0.1*C48</f>
        <v>9925.4000000000015</v>
      </c>
      <c r="Q48" s="181">
        <f>0.1*J48</f>
        <v>13561.8968</v>
      </c>
      <c r="R48" s="229"/>
    </row>
    <row r="49" spans="1:18">
      <c r="A49" s="257" t="s">
        <v>270</v>
      </c>
      <c r="B49" s="258" t="s">
        <v>267</v>
      </c>
      <c r="C49" s="259">
        <v>99254</v>
      </c>
      <c r="D49" s="246">
        <v>2162</v>
      </c>
      <c r="E49" s="246">
        <f>C49+D49</f>
        <v>101416</v>
      </c>
      <c r="F49" s="181">
        <f>IF(E49&gt;$L$5,$N$5*(E49-$L$5)+$N$4*($L$5-$L$4)+$N$3*($L$4-$L$1),IF($L$5&gt;E49&gt;$L$4,$N$4*(E49-$L$4)+$N$3*($L$4-$L$1),0))</f>
        <v>12804.192000000001</v>
      </c>
      <c r="G49" s="247">
        <f>E49*$G$10</f>
        <v>20891.696</v>
      </c>
      <c r="H49" s="247">
        <f>E49/100*0.5</f>
        <v>507.08</v>
      </c>
      <c r="I49" s="247">
        <f>F49+G49+H49</f>
        <v>34202.968</v>
      </c>
      <c r="J49" s="246">
        <f>E49+I49</f>
        <v>135618.968</v>
      </c>
      <c r="K49" s="181">
        <f>J49/$K$10</f>
        <v>11301.580666666667</v>
      </c>
      <c r="L49" s="181">
        <f>J49/$L$10</f>
        <v>616.44985454545451</v>
      </c>
      <c r="M49" s="181">
        <f>J49/$M$10</f>
        <v>3082.2492727272725</v>
      </c>
      <c r="N49" s="181">
        <f>J49/$N$10</f>
        <v>82.193313939393931</v>
      </c>
      <c r="P49" s="181">
        <f>0.1*C49</f>
        <v>9925.4000000000015</v>
      </c>
      <c r="Q49" s="181">
        <f>0.1*J49</f>
        <v>13561.8968</v>
      </c>
      <c r="R49" s="229"/>
    </row>
    <row r="50" spans="1:18">
      <c r="A50" s="257" t="s">
        <v>270</v>
      </c>
      <c r="B50" s="258" t="s">
        <v>268</v>
      </c>
      <c r="C50" s="259">
        <v>99254</v>
      </c>
      <c r="D50" s="246">
        <v>2162</v>
      </c>
      <c r="E50" s="246">
        <f>C50+D50</f>
        <v>101416</v>
      </c>
      <c r="F50" s="181">
        <f>IF(E50&gt;$L$5,$N$5*(E50-$L$5)+$N$4*($L$5-$L$4)+$N$3*($L$4-$L$1),IF($L$5&gt;E50&gt;$L$4,$N$4*(E50-$L$4)+$N$3*($L$4-$L$1),0))</f>
        <v>12804.192000000001</v>
      </c>
      <c r="G50" s="247">
        <f>E50*$G$10</f>
        <v>20891.696</v>
      </c>
      <c r="H50" s="247">
        <f>E50/100*0.5</f>
        <v>507.08</v>
      </c>
      <c r="I50" s="247">
        <f>F50+G50+H50</f>
        <v>34202.968</v>
      </c>
      <c r="J50" s="246">
        <f>E50+I50</f>
        <v>135618.968</v>
      </c>
      <c r="K50" s="181">
        <f>J50/$K$10</f>
        <v>11301.580666666667</v>
      </c>
      <c r="L50" s="181">
        <f>J50/$L$10</f>
        <v>616.44985454545451</v>
      </c>
      <c r="M50" s="181">
        <f>J50/$M$10</f>
        <v>3082.2492727272725</v>
      </c>
      <c r="N50" s="181">
        <f>J50/$N$10</f>
        <v>82.193313939393931</v>
      </c>
      <c r="P50" s="181">
        <f>0.1*C50</f>
        <v>9925.4000000000015</v>
      </c>
      <c r="Q50" s="181">
        <f>0.1*J50</f>
        <v>13561.8968</v>
      </c>
      <c r="R50" s="229"/>
    </row>
    <row r="51" spans="1:18">
      <c r="A51" s="257" t="s">
        <v>270</v>
      </c>
      <c r="B51" s="258" t="s">
        <v>269</v>
      </c>
      <c r="C51" s="259">
        <v>105042</v>
      </c>
      <c r="D51" s="246">
        <v>2162</v>
      </c>
      <c r="E51" s="246">
        <f>C51+D51</f>
        <v>107204</v>
      </c>
      <c r="F51" s="181">
        <f>IF(E51&gt;$L$5,$N$5*(E51-$L$5)+$N$4*($L$5-$L$4)+$N$3*($L$4-$L$1),IF($L$5&gt;E51&gt;$L$4,$N$4*(E51-$L$4)+$N$3*($L$4-$L$1),0))</f>
        <v>13602.936000000002</v>
      </c>
      <c r="G51" s="247">
        <f>E51*$G$10</f>
        <v>22084.023999999998</v>
      </c>
      <c r="H51" s="247">
        <f>E51/100*0.5</f>
        <v>536.02</v>
      </c>
      <c r="I51" s="247">
        <f>F51+G51+H51</f>
        <v>36222.979999999996</v>
      </c>
      <c r="J51" s="246">
        <f>E51+I51</f>
        <v>143426.97999999998</v>
      </c>
      <c r="K51" s="181">
        <f>J51/$K$10</f>
        <v>11952.248333333331</v>
      </c>
      <c r="L51" s="181">
        <f>J51/$L$10</f>
        <v>651.94081818181814</v>
      </c>
      <c r="M51" s="181">
        <f>J51/$M$10</f>
        <v>3259.7040909090906</v>
      </c>
      <c r="N51" s="181">
        <f>J51/$N$10</f>
        <v>86.925442424242419</v>
      </c>
      <c r="P51" s="181">
        <f>0.1*C51</f>
        <v>10504.2</v>
      </c>
      <c r="Q51" s="181">
        <f>0.1*J51</f>
        <v>14342.697999999999</v>
      </c>
      <c r="R51" s="229"/>
    </row>
    <row r="52" spans="1:18">
      <c r="A52" s="257"/>
      <c r="B52" s="258"/>
      <c r="C52" s="259"/>
      <c r="D52" s="246"/>
      <c r="E52" s="246"/>
      <c r="F52" s="181"/>
      <c r="G52" s="247"/>
      <c r="H52" s="247"/>
      <c r="I52" s="247"/>
      <c r="J52" s="246"/>
      <c r="K52" s="181"/>
      <c r="L52" s="181"/>
      <c r="M52" s="181"/>
      <c r="N52" s="181"/>
      <c r="P52" s="181"/>
      <c r="Q52" s="181"/>
      <c r="R52" s="229"/>
    </row>
    <row r="53" spans="1:18">
      <c r="A53" s="257"/>
      <c r="B53" s="258"/>
      <c r="C53" s="259"/>
      <c r="D53" s="246"/>
      <c r="E53" s="246"/>
      <c r="F53" s="181"/>
      <c r="G53" s="247"/>
      <c r="H53" s="247"/>
      <c r="I53" s="247"/>
      <c r="J53" s="246"/>
      <c r="K53" s="181"/>
      <c r="L53" s="181"/>
      <c r="M53" s="181"/>
      <c r="N53" s="181"/>
      <c r="P53" s="181"/>
      <c r="Q53" s="181"/>
      <c r="R53" s="229"/>
    </row>
    <row r="54" spans="1:18">
      <c r="A54" s="257" t="s">
        <v>271</v>
      </c>
      <c r="B54" s="258" t="s">
        <v>202</v>
      </c>
      <c r="C54" s="259">
        <v>79130</v>
      </c>
      <c r="D54" s="246">
        <v>2162</v>
      </c>
      <c r="E54" s="246">
        <f>C54+D54</f>
        <v>81292</v>
      </c>
      <c r="F54" s="181">
        <f>IF(E54&gt;$L$5,$N$5*(E54-$L$5)+$N$4*($L$5-$L$4)+$N$3*($L$4-$L$1),IF($L$5&gt;E54&gt;$L$4,$N$4*(E54-$L$4)+$N$3*($L$4-$L$1),0))</f>
        <v>10027.080000000002</v>
      </c>
      <c r="G54" s="247">
        <f>E54*$G$10</f>
        <v>16746.152</v>
      </c>
      <c r="H54" s="247">
        <f>E54/100*0.5</f>
        <v>406.46</v>
      </c>
      <c r="I54" s="247">
        <f>F54+G54+H54</f>
        <v>27179.692</v>
      </c>
      <c r="J54" s="246">
        <f>E54+I54</f>
        <v>108471.692</v>
      </c>
      <c r="K54" s="181">
        <f>J54/$K$10</f>
        <v>9039.3076666666657</v>
      </c>
      <c r="L54" s="181">
        <f>J54/$L$10</f>
        <v>493.05314545454542</v>
      </c>
      <c r="M54" s="181">
        <f>J54/$M$10</f>
        <v>2465.265727272727</v>
      </c>
      <c r="N54" s="181">
        <f>J54/$N$10</f>
        <v>65.740419393939391</v>
      </c>
      <c r="P54" s="181">
        <f>0.1*C54</f>
        <v>7913</v>
      </c>
      <c r="Q54" s="181">
        <f>0.1*J54</f>
        <v>10847.1692</v>
      </c>
      <c r="R54" s="229"/>
    </row>
    <row r="55" spans="1:18">
      <c r="A55" s="257" t="s">
        <v>271</v>
      </c>
      <c r="B55" s="258" t="s">
        <v>210</v>
      </c>
      <c r="C55" s="259">
        <v>81569</v>
      </c>
      <c r="D55" s="246">
        <v>2162</v>
      </c>
      <c r="E55" s="246">
        <f>C55+D55</f>
        <v>83731</v>
      </c>
      <c r="F55" s="181">
        <f>IF(E55&gt;$L$5,$N$5*(E55-$L$5)+$N$4*($L$5-$L$4)+$N$3*($L$4-$L$1),IF($L$5&gt;E55&gt;$L$4,$N$4*(E55-$L$4)+$N$3*($L$4-$L$1),0))</f>
        <v>10363.662</v>
      </c>
      <c r="G55" s="247">
        <f>E55*$G$10</f>
        <v>17248.586</v>
      </c>
      <c r="H55" s="247">
        <f>E55/100*0.5</f>
        <v>418.655</v>
      </c>
      <c r="I55" s="247">
        <f>F55+G55+H55</f>
        <v>28030.903</v>
      </c>
      <c r="J55" s="246">
        <f>E55+I55</f>
        <v>111761.90299999999</v>
      </c>
      <c r="K55" s="181">
        <f>J55/$K$10</f>
        <v>9313.4919166666659</v>
      </c>
      <c r="L55" s="181">
        <f>J55/$L$10</f>
        <v>508.00864999999993</v>
      </c>
      <c r="M55" s="181">
        <f>J55/$M$10</f>
        <v>2540.0432499999997</v>
      </c>
      <c r="N55" s="181">
        <f>J55/$N$10</f>
        <v>67.734486666666655</v>
      </c>
      <c r="P55" s="181">
        <f>0.1*C55</f>
        <v>8156.9000000000005</v>
      </c>
      <c r="Q55" s="181">
        <f>0.1*J55</f>
        <v>11176.1903</v>
      </c>
      <c r="R55" s="229"/>
    </row>
    <row r="56" spans="1:18">
      <c r="A56" s="257" t="s">
        <v>271</v>
      </c>
      <c r="B56" s="258" t="s">
        <v>212</v>
      </c>
      <c r="C56" s="259">
        <v>85232</v>
      </c>
      <c r="D56" s="246">
        <v>2162</v>
      </c>
      <c r="E56" s="246">
        <f>C56+D56</f>
        <v>87394</v>
      </c>
      <c r="F56" s="181">
        <f>IF(E56&gt;$L$5,$N$5*(E56-$L$5)+$N$4*($L$5-$L$4)+$N$3*($L$4-$L$1),IF($L$5&gt;E56&gt;$L$4,$N$4*(E56-$L$4)+$N$3*($L$4-$L$1),0))</f>
        <v>10869.156</v>
      </c>
      <c r="G56" s="247">
        <f>E56*$G$10</f>
        <v>18003.164</v>
      </c>
      <c r="H56" s="247">
        <f>E56/100*0.5</f>
        <v>436.97</v>
      </c>
      <c r="I56" s="247">
        <f>F56+G56+H56</f>
        <v>29309.29</v>
      </c>
      <c r="J56" s="246">
        <f>E56+I56</f>
        <v>116703.29000000001</v>
      </c>
      <c r="K56" s="181">
        <f>J56/$K$10</f>
        <v>9725.274166666668</v>
      </c>
      <c r="L56" s="181">
        <f>J56/$L$10</f>
        <v>530.4695</v>
      </c>
      <c r="M56" s="181">
        <f>J56/$M$10</f>
        <v>2652.3475000000003</v>
      </c>
      <c r="N56" s="181">
        <f>J56/$N$10</f>
        <v>70.729266666666675</v>
      </c>
      <c r="P56" s="181">
        <f>0.1*C56</f>
        <v>8523.2</v>
      </c>
      <c r="Q56" s="181">
        <f>0.1*J56</f>
        <v>11670.329000000002</v>
      </c>
      <c r="R56" s="229"/>
    </row>
    <row r="57" spans="1:18">
      <c r="A57" s="257" t="s">
        <v>271</v>
      </c>
      <c r="B57" s="258" t="s">
        <v>214</v>
      </c>
      <c r="C57" s="259">
        <v>87665</v>
      </c>
      <c r="D57" s="246">
        <v>2162</v>
      </c>
      <c r="E57" s="246">
        <f>C57+D57</f>
        <v>89827</v>
      </c>
      <c r="F57" s="181">
        <f>IF(E57&gt;$L$5,$N$5*(E57-$L$5)+$N$4*($L$5-$L$4)+$N$3*($L$4-$L$1),IF($L$5&gt;E57&gt;$L$4,$N$4*(E57-$L$4)+$N$3*($L$4-$L$1),0))</f>
        <v>11204.91</v>
      </c>
      <c r="G57" s="247">
        <f>E57*$G$10</f>
        <v>18504.361999999997</v>
      </c>
      <c r="H57" s="247">
        <f>E57/100*0.5</f>
        <v>449.135</v>
      </c>
      <c r="I57" s="247">
        <f>F57+G57+H57</f>
        <v>30158.406999999996</v>
      </c>
      <c r="J57" s="246">
        <f>E57+I57</f>
        <v>119985.40699999999</v>
      </c>
      <c r="K57" s="181">
        <f>J57/$K$10</f>
        <v>9998.7839166666654</v>
      </c>
      <c r="L57" s="181">
        <f>J57/$L$10</f>
        <v>545.38821363636362</v>
      </c>
      <c r="M57" s="181">
        <f>J57/$M$10</f>
        <v>2726.9410681818181</v>
      </c>
      <c r="N57" s="181">
        <f>J57/$N$10</f>
        <v>72.718428484848474</v>
      </c>
      <c r="P57" s="181">
        <f>0.1*C57</f>
        <v>8766.5</v>
      </c>
      <c r="Q57" s="181">
        <f>0.1*J57</f>
        <v>11998.5407</v>
      </c>
      <c r="R57" s="229"/>
    </row>
    <row r="58" spans="1:18">
      <c r="A58" s="257" t="s">
        <v>271</v>
      </c>
      <c r="B58" s="258" t="s">
        <v>220</v>
      </c>
      <c r="C58" s="259">
        <v>87665</v>
      </c>
      <c r="D58" s="246">
        <v>2162</v>
      </c>
      <c r="E58" s="246">
        <f>C58+D58</f>
        <v>89827</v>
      </c>
      <c r="F58" s="181">
        <f>IF(E58&gt;$L$5,$N$5*(E58-$L$5)+$N$4*($L$5-$L$4)+$N$3*($L$4-$L$1),IF($L$5&gt;E58&gt;$L$4,$N$4*(E58-$L$4)+$N$3*($L$4-$L$1),0))</f>
        <v>11204.91</v>
      </c>
      <c r="G58" s="247">
        <f>E58*$G$10</f>
        <v>18504.361999999997</v>
      </c>
      <c r="H58" s="247">
        <f>E58/100*0.5</f>
        <v>449.135</v>
      </c>
      <c r="I58" s="247">
        <f>F58+G58+H58</f>
        <v>30158.406999999996</v>
      </c>
      <c r="J58" s="246">
        <f>E58+I58</f>
        <v>119985.40699999999</v>
      </c>
      <c r="K58" s="181">
        <f>J58/$K$10</f>
        <v>9998.7839166666654</v>
      </c>
      <c r="L58" s="181">
        <f>J58/$L$10</f>
        <v>545.38821363636362</v>
      </c>
      <c r="M58" s="181">
        <f>J58/$M$10</f>
        <v>2726.9410681818181</v>
      </c>
      <c r="N58" s="181">
        <f>J58/$N$10</f>
        <v>72.718428484848474</v>
      </c>
      <c r="P58" s="181">
        <f>0.1*C58</f>
        <v>8766.5</v>
      </c>
      <c r="Q58" s="181">
        <f>0.1*J58</f>
        <v>11998.5407</v>
      </c>
      <c r="R58" s="229"/>
    </row>
    <row r="59" spans="1:18">
      <c r="A59" s="257" t="s">
        <v>271</v>
      </c>
      <c r="B59" s="258" t="s">
        <v>221</v>
      </c>
      <c r="C59" s="259">
        <v>87665</v>
      </c>
      <c r="D59" s="246">
        <v>2162</v>
      </c>
      <c r="E59" s="246">
        <f>C59+D59</f>
        <v>89827</v>
      </c>
      <c r="F59" s="181">
        <f>IF(E59&gt;$L$5,$N$5*(E59-$L$5)+$N$4*($L$5-$L$4)+$N$3*($L$4-$L$1),IF($L$5&gt;E59&gt;$L$4,$N$4*(E59-$L$4)+$N$3*($L$4-$L$1),0))</f>
        <v>11204.91</v>
      </c>
      <c r="G59" s="247">
        <f>E59*$G$10</f>
        <v>18504.361999999997</v>
      </c>
      <c r="H59" s="247">
        <f>E59/100*0.5</f>
        <v>449.135</v>
      </c>
      <c r="I59" s="247">
        <f>F59+G59+H59</f>
        <v>30158.406999999996</v>
      </c>
      <c r="J59" s="246">
        <f>E59+I59</f>
        <v>119985.40699999999</v>
      </c>
      <c r="K59" s="181">
        <f>J59/$K$10</f>
        <v>9998.7839166666654</v>
      </c>
      <c r="L59" s="181">
        <f>J59/$L$10</f>
        <v>545.38821363636362</v>
      </c>
      <c r="M59" s="181">
        <f>J59/$M$10</f>
        <v>2726.9410681818181</v>
      </c>
      <c r="N59" s="181">
        <f>J59/$N$10</f>
        <v>72.718428484848474</v>
      </c>
      <c r="P59" s="181">
        <f>0.1*C59</f>
        <v>8766.5</v>
      </c>
      <c r="Q59" s="181">
        <f>0.1*J59</f>
        <v>11998.5407</v>
      </c>
      <c r="R59" s="229"/>
    </row>
    <row r="60" spans="1:18">
      <c r="A60" s="257" t="s">
        <v>271</v>
      </c>
      <c r="B60" s="258" t="s">
        <v>257</v>
      </c>
      <c r="C60" s="259">
        <v>87665</v>
      </c>
      <c r="D60" s="246">
        <v>2162</v>
      </c>
      <c r="E60" s="246">
        <f>C60+D60</f>
        <v>89827</v>
      </c>
      <c r="F60" s="181">
        <f>IF(E60&gt;$L$5,$N$5*(E60-$L$5)+$N$4*($L$5-$L$4)+$N$3*($L$4-$L$1),IF($L$5&gt;E60&gt;$L$4,$N$4*(E60-$L$4)+$N$3*($L$4-$L$1),0))</f>
        <v>11204.91</v>
      </c>
      <c r="G60" s="247">
        <f>E60*$G$10</f>
        <v>18504.361999999997</v>
      </c>
      <c r="H60" s="247">
        <f>E60/100*0.5</f>
        <v>449.135</v>
      </c>
      <c r="I60" s="247">
        <f>F60+G60+H60</f>
        <v>30158.406999999996</v>
      </c>
      <c r="J60" s="246">
        <f>E60+I60</f>
        <v>119985.40699999999</v>
      </c>
      <c r="K60" s="181">
        <f>J60/$K$10</f>
        <v>9998.7839166666654</v>
      </c>
      <c r="L60" s="181">
        <f>J60/$L$10</f>
        <v>545.38821363636362</v>
      </c>
      <c r="M60" s="181">
        <f>J60/$M$10</f>
        <v>2726.9410681818181</v>
      </c>
      <c r="N60" s="181">
        <f>J60/$N$10</f>
        <v>72.718428484848474</v>
      </c>
      <c r="P60" s="181">
        <f>0.1*C60</f>
        <v>8766.5</v>
      </c>
      <c r="Q60" s="181">
        <f>0.1*J60</f>
        <v>11998.5407</v>
      </c>
      <c r="R60" s="229"/>
    </row>
    <row r="61" spans="1:18">
      <c r="A61" s="257" t="s">
        <v>271</v>
      </c>
      <c r="B61" s="258" t="s">
        <v>259</v>
      </c>
      <c r="C61" s="259">
        <v>93459</v>
      </c>
      <c r="D61" s="246">
        <v>2162</v>
      </c>
      <c r="E61" s="246">
        <f>C61+D61</f>
        <v>95621</v>
      </c>
      <c r="F61" s="181">
        <f>IF(E61&gt;$L$5,$N$5*(E61-$L$5)+$N$4*($L$5-$L$4)+$N$3*($L$4-$L$1),IF($L$5&gt;E61&gt;$L$4,$N$4*(E61-$L$4)+$N$3*($L$4-$L$1),0))</f>
        <v>12004.482</v>
      </c>
      <c r="G61" s="247">
        <f>E61*$G$10</f>
        <v>19697.926</v>
      </c>
      <c r="H61" s="247">
        <f>E61/100*0.5</f>
        <v>478.105</v>
      </c>
      <c r="I61" s="247">
        <f>F61+G61+H61</f>
        <v>32180.513</v>
      </c>
      <c r="J61" s="246">
        <f>E61+I61</f>
        <v>127801.513</v>
      </c>
      <c r="K61" s="181">
        <f>J61/$K$10</f>
        <v>10650.126083333334</v>
      </c>
      <c r="L61" s="181">
        <f>J61/$L$10</f>
        <v>580.91596818181824</v>
      </c>
      <c r="M61" s="181">
        <f>J61/$M$10</f>
        <v>2904.5798409090912</v>
      </c>
      <c r="N61" s="181">
        <f>J61/$N$10</f>
        <v>77.455462424242427</v>
      </c>
      <c r="P61" s="181">
        <f>0.1*C61</f>
        <v>9345.9</v>
      </c>
      <c r="Q61" s="181">
        <f>0.1*J61</f>
        <v>12780.151300000001</v>
      </c>
      <c r="R61" s="229"/>
    </row>
    <row r="62" spans="1:18">
      <c r="A62" s="257" t="s">
        <v>271</v>
      </c>
      <c r="B62" s="258" t="s">
        <v>260</v>
      </c>
      <c r="C62" s="259">
        <v>93459</v>
      </c>
      <c r="D62" s="246">
        <v>2162</v>
      </c>
      <c r="E62" s="246">
        <f>C62+D62</f>
        <v>95621</v>
      </c>
      <c r="F62" s="181">
        <f>IF(E62&gt;$L$5,$N$5*(E62-$L$5)+$N$4*($L$5-$L$4)+$N$3*($L$4-$L$1),IF($L$5&gt;E62&gt;$L$4,$N$4*(E62-$L$4)+$N$3*($L$4-$L$1),0))</f>
        <v>12004.482</v>
      </c>
      <c r="G62" s="247">
        <f>E62*$G$10</f>
        <v>19697.926</v>
      </c>
      <c r="H62" s="247">
        <f>E62/100*0.5</f>
        <v>478.105</v>
      </c>
      <c r="I62" s="247">
        <f>F62+G62+H62</f>
        <v>32180.513</v>
      </c>
      <c r="J62" s="246">
        <f>E62+I62</f>
        <v>127801.513</v>
      </c>
      <c r="K62" s="181">
        <f>J62/$K$10</f>
        <v>10650.126083333334</v>
      </c>
      <c r="L62" s="181">
        <f>J62/$L$10</f>
        <v>580.91596818181824</v>
      </c>
      <c r="M62" s="181">
        <f>J62/$M$10</f>
        <v>2904.5798409090912</v>
      </c>
      <c r="N62" s="181">
        <f>J62/$N$10</f>
        <v>77.455462424242427</v>
      </c>
      <c r="P62" s="181">
        <f>0.1*C62</f>
        <v>9345.9</v>
      </c>
      <c r="Q62" s="181">
        <f>0.1*J62</f>
        <v>12780.151300000001</v>
      </c>
      <c r="R62" s="229"/>
    </row>
    <row r="63" spans="1:18">
      <c r="A63" s="257" t="s">
        <v>271</v>
      </c>
      <c r="B63" s="258" t="s">
        <v>261</v>
      </c>
      <c r="C63" s="259">
        <v>93459</v>
      </c>
      <c r="D63" s="246">
        <v>2162</v>
      </c>
      <c r="E63" s="246">
        <f>C63+D63</f>
        <v>95621</v>
      </c>
      <c r="F63" s="181">
        <f>IF(E63&gt;$L$5,$N$5*(E63-$L$5)+$N$4*($L$5-$L$4)+$N$3*($L$4-$L$1),IF($L$5&gt;E63&gt;$L$4,$N$4*(E63-$L$4)+$N$3*($L$4-$L$1),0))</f>
        <v>12004.482</v>
      </c>
      <c r="G63" s="247">
        <f>E63*$G$10</f>
        <v>19697.926</v>
      </c>
      <c r="H63" s="247">
        <f>E63/100*0.5</f>
        <v>478.105</v>
      </c>
      <c r="I63" s="247">
        <f>F63+G63+H63</f>
        <v>32180.513</v>
      </c>
      <c r="J63" s="246">
        <f>E63+I63</f>
        <v>127801.513</v>
      </c>
      <c r="K63" s="181">
        <f>J63/$K$10</f>
        <v>10650.126083333334</v>
      </c>
      <c r="L63" s="181">
        <f>J63/$L$10</f>
        <v>580.91596818181824</v>
      </c>
      <c r="M63" s="181">
        <f>J63/$M$10</f>
        <v>2904.5798409090912</v>
      </c>
      <c r="N63" s="181">
        <f>J63/$N$10</f>
        <v>77.455462424242427</v>
      </c>
      <c r="P63" s="181">
        <f>0.1*C63</f>
        <v>9345.9</v>
      </c>
      <c r="Q63" s="181">
        <f>0.1*J63</f>
        <v>12780.151300000001</v>
      </c>
      <c r="R63" s="229"/>
    </row>
    <row r="64" spans="1:18">
      <c r="A64" s="257" t="s">
        <v>271</v>
      </c>
      <c r="B64" s="258" t="s">
        <v>262</v>
      </c>
      <c r="C64" s="259">
        <v>93459</v>
      </c>
      <c r="D64" s="246">
        <v>2162</v>
      </c>
      <c r="E64" s="246">
        <f>C64+D64</f>
        <v>95621</v>
      </c>
      <c r="F64" s="181">
        <f>IF(E64&gt;$L$5,$N$5*(E64-$L$5)+$N$4*($L$5-$L$4)+$N$3*($L$4-$L$1),IF($L$5&gt;E64&gt;$L$4,$N$4*(E64-$L$4)+$N$3*($L$4-$L$1),0))</f>
        <v>12004.482</v>
      </c>
      <c r="G64" s="247">
        <f>E64*$G$10</f>
        <v>19697.926</v>
      </c>
      <c r="H64" s="247">
        <f>E64/100*0.5</f>
        <v>478.105</v>
      </c>
      <c r="I64" s="247">
        <f>F64+G64+H64</f>
        <v>32180.513</v>
      </c>
      <c r="J64" s="246">
        <f>E64+I64</f>
        <v>127801.513</v>
      </c>
      <c r="K64" s="181">
        <f>J64/$K$10</f>
        <v>10650.126083333334</v>
      </c>
      <c r="L64" s="181">
        <f>J64/$L$10</f>
        <v>580.91596818181824</v>
      </c>
      <c r="M64" s="181">
        <f>J64/$M$10</f>
        <v>2904.5798409090912</v>
      </c>
      <c r="N64" s="181">
        <f>J64/$N$10</f>
        <v>77.455462424242427</v>
      </c>
      <c r="P64" s="181">
        <f>0.1*C64</f>
        <v>9345.9</v>
      </c>
      <c r="Q64" s="181">
        <f>0.1*J64</f>
        <v>12780.151300000001</v>
      </c>
      <c r="R64" s="229"/>
    </row>
    <row r="65" spans="1:18">
      <c r="A65" s="257" t="s">
        <v>271</v>
      </c>
      <c r="B65" s="258" t="s">
        <v>263</v>
      </c>
      <c r="C65" s="259">
        <v>93459</v>
      </c>
      <c r="D65" s="246">
        <v>2162</v>
      </c>
      <c r="E65" s="246">
        <f>C65+D65</f>
        <v>95621</v>
      </c>
      <c r="F65" s="181">
        <f>IF(E65&gt;$L$5,$N$5*(E65-$L$5)+$N$4*($L$5-$L$4)+$N$3*($L$4-$L$1),IF($L$5&gt;E65&gt;$L$4,$N$4*(E65-$L$4)+$N$3*($L$4-$L$1),0))</f>
        <v>12004.482</v>
      </c>
      <c r="G65" s="247">
        <f>E65*$G$10</f>
        <v>19697.926</v>
      </c>
      <c r="H65" s="247">
        <f>E65/100*0.5</f>
        <v>478.105</v>
      </c>
      <c r="I65" s="247">
        <f>F65+G65+H65</f>
        <v>32180.513</v>
      </c>
      <c r="J65" s="246">
        <f>E65+I65</f>
        <v>127801.513</v>
      </c>
      <c r="K65" s="181">
        <f>J65/$K$10</f>
        <v>10650.126083333334</v>
      </c>
      <c r="L65" s="181">
        <f>J65/$L$10</f>
        <v>580.91596818181824</v>
      </c>
      <c r="M65" s="181">
        <f>J65/$M$10</f>
        <v>2904.5798409090912</v>
      </c>
      <c r="N65" s="181">
        <f>J65/$N$10</f>
        <v>77.455462424242427</v>
      </c>
      <c r="P65" s="181">
        <f>0.1*C65</f>
        <v>9345.9</v>
      </c>
      <c r="Q65" s="181">
        <f>0.1*J65</f>
        <v>12780.151300000001</v>
      </c>
      <c r="R65" s="229"/>
    </row>
    <row r="66" spans="1:18">
      <c r="A66" s="257" t="s">
        <v>271</v>
      </c>
      <c r="B66" s="258" t="s">
        <v>264</v>
      </c>
      <c r="C66" s="259">
        <v>99254</v>
      </c>
      <c r="D66" s="246">
        <v>2162</v>
      </c>
      <c r="E66" s="246">
        <f>C66+D66</f>
        <v>101416</v>
      </c>
      <c r="F66" s="181">
        <f>IF(E66&gt;$L$5,$N$5*(E66-$L$5)+$N$4*($L$5-$L$4)+$N$3*($L$4-$L$1),IF($L$5&gt;E66&gt;$L$4,$N$4*(E66-$L$4)+$N$3*($L$4-$L$1),0))</f>
        <v>12804.192000000001</v>
      </c>
      <c r="G66" s="247">
        <f>E66*$G$10</f>
        <v>20891.696</v>
      </c>
      <c r="H66" s="247">
        <f>E66/100*0.5</f>
        <v>507.08</v>
      </c>
      <c r="I66" s="247">
        <f>F66+G66+H66</f>
        <v>34202.968</v>
      </c>
      <c r="J66" s="246">
        <f>E66+I66</f>
        <v>135618.968</v>
      </c>
      <c r="K66" s="181">
        <f>J66/$K$10</f>
        <v>11301.580666666667</v>
      </c>
      <c r="L66" s="181">
        <f>J66/$L$10</f>
        <v>616.44985454545451</v>
      </c>
      <c r="M66" s="181">
        <f>J66/$M$10</f>
        <v>3082.2492727272725</v>
      </c>
      <c r="N66" s="181">
        <f>J66/$N$10</f>
        <v>82.193313939393931</v>
      </c>
      <c r="P66" s="181">
        <f>0.1*C66</f>
        <v>9925.4000000000015</v>
      </c>
      <c r="Q66" s="181">
        <f>0.1*J66</f>
        <v>13561.8968</v>
      </c>
      <c r="R66" s="229"/>
    </row>
    <row r="67" spans="1:18">
      <c r="A67" s="257" t="s">
        <v>271</v>
      </c>
      <c r="B67" s="258" t="s">
        <v>265</v>
      </c>
      <c r="C67" s="259">
        <v>99254</v>
      </c>
      <c r="D67" s="246">
        <v>2162</v>
      </c>
      <c r="E67" s="246">
        <f>C67+D67</f>
        <v>101416</v>
      </c>
      <c r="F67" s="181">
        <f>IF(E67&gt;$L$5,$N$5*(E67-$L$5)+$N$4*($L$5-$L$4)+$N$3*($L$4-$L$1),IF($L$5&gt;E67&gt;$L$4,$N$4*(E67-$L$4)+$N$3*($L$4-$L$1),0))</f>
        <v>12804.192000000001</v>
      </c>
      <c r="G67" s="247">
        <f>E67*$G$10</f>
        <v>20891.696</v>
      </c>
      <c r="H67" s="247">
        <f>E67/100*0.5</f>
        <v>507.08</v>
      </c>
      <c r="I67" s="247">
        <f>F67+G67+H67</f>
        <v>34202.968</v>
      </c>
      <c r="J67" s="246">
        <f>E67+I67</f>
        <v>135618.968</v>
      </c>
      <c r="K67" s="181">
        <f>J67/$K$10</f>
        <v>11301.580666666667</v>
      </c>
      <c r="L67" s="181">
        <f>J67/$L$10</f>
        <v>616.44985454545451</v>
      </c>
      <c r="M67" s="181">
        <f>J67/$M$10</f>
        <v>3082.2492727272725</v>
      </c>
      <c r="N67" s="181">
        <f>J67/$N$10</f>
        <v>82.193313939393931</v>
      </c>
      <c r="P67" s="181">
        <f>0.1*C67</f>
        <v>9925.4000000000015</v>
      </c>
      <c r="Q67" s="181">
        <f>0.1*J67</f>
        <v>13561.8968</v>
      </c>
      <c r="R67" s="229"/>
    </row>
    <row r="68" spans="1:18">
      <c r="A68" s="257" t="s">
        <v>271</v>
      </c>
      <c r="B68" s="258" t="s">
        <v>266</v>
      </c>
      <c r="C68" s="259">
        <v>99254</v>
      </c>
      <c r="D68" s="246">
        <v>2162</v>
      </c>
      <c r="E68" s="246">
        <f>C68+D68</f>
        <v>101416</v>
      </c>
      <c r="F68" s="181">
        <f>IF(E68&gt;$L$5,$N$5*(E68-$L$5)+$N$4*($L$5-$L$4)+$N$3*($L$4-$L$1),IF($L$5&gt;E68&gt;$L$4,$N$4*(E68-$L$4)+$N$3*($L$4-$L$1),0))</f>
        <v>12804.192000000001</v>
      </c>
      <c r="G68" s="247">
        <f>E68*$G$10</f>
        <v>20891.696</v>
      </c>
      <c r="H68" s="247">
        <f>E68/100*0.5</f>
        <v>507.08</v>
      </c>
      <c r="I68" s="247">
        <f>F68+G68+H68</f>
        <v>34202.968</v>
      </c>
      <c r="J68" s="246">
        <f>E68+I68</f>
        <v>135618.968</v>
      </c>
      <c r="K68" s="181">
        <f>J68/$K$10</f>
        <v>11301.580666666667</v>
      </c>
      <c r="L68" s="181">
        <f>J68/$L$10</f>
        <v>616.44985454545451</v>
      </c>
      <c r="M68" s="181">
        <f>J68/$M$10</f>
        <v>3082.2492727272725</v>
      </c>
      <c r="N68" s="181">
        <f>J68/$N$10</f>
        <v>82.193313939393931</v>
      </c>
      <c r="P68" s="181">
        <f>0.1*C68</f>
        <v>9925.4000000000015</v>
      </c>
      <c r="Q68" s="181">
        <f>0.1*J68</f>
        <v>13561.8968</v>
      </c>
      <c r="R68" s="229"/>
    </row>
    <row r="69" spans="1:18">
      <c r="A69" s="257" t="s">
        <v>271</v>
      </c>
      <c r="B69" s="258" t="s">
        <v>267</v>
      </c>
      <c r="C69" s="259">
        <v>99254</v>
      </c>
      <c r="D69" s="246">
        <v>2162</v>
      </c>
      <c r="E69" s="246">
        <f>C69+D69</f>
        <v>101416</v>
      </c>
      <c r="F69" s="181">
        <f>IF(E69&gt;$L$5,$N$5*(E69-$L$5)+$N$4*($L$5-$L$4)+$N$3*($L$4-$L$1),IF($L$5&gt;E69&gt;$L$4,$N$4*(E69-$L$4)+$N$3*($L$4-$L$1),0))</f>
        <v>12804.192000000001</v>
      </c>
      <c r="G69" s="247">
        <f>E69*$G$10</f>
        <v>20891.696</v>
      </c>
      <c r="H69" s="247">
        <f>E69/100*0.5</f>
        <v>507.08</v>
      </c>
      <c r="I69" s="247">
        <f>F69+G69+H69</f>
        <v>34202.968</v>
      </c>
      <c r="J69" s="246">
        <f>E69+I69</f>
        <v>135618.968</v>
      </c>
      <c r="K69" s="181">
        <f>J69/$K$10</f>
        <v>11301.580666666667</v>
      </c>
      <c r="L69" s="181">
        <f>J69/$L$10</f>
        <v>616.44985454545451</v>
      </c>
      <c r="M69" s="181">
        <f>J69/$M$10</f>
        <v>3082.2492727272725</v>
      </c>
      <c r="N69" s="181">
        <f>J69/$N$10</f>
        <v>82.193313939393931</v>
      </c>
      <c r="P69" s="181">
        <f>0.1*C69</f>
        <v>9925.4000000000015</v>
      </c>
      <c r="Q69" s="181">
        <f>0.1*J69</f>
        <v>13561.8968</v>
      </c>
      <c r="R69" s="229"/>
    </row>
    <row r="70" spans="1:18">
      <c r="A70" s="257" t="s">
        <v>271</v>
      </c>
      <c r="B70" s="258" t="s">
        <v>268</v>
      </c>
      <c r="C70" s="259">
        <v>99254</v>
      </c>
      <c r="D70" s="246">
        <v>2162</v>
      </c>
      <c r="E70" s="246">
        <f>C70+D70</f>
        <v>101416</v>
      </c>
      <c r="F70" s="181">
        <f>IF(E70&gt;$L$5,$N$5*(E70-$L$5)+$N$4*($L$5-$L$4)+$N$3*($L$4-$L$1),IF($L$5&gt;E70&gt;$L$4,$N$4*(E70-$L$4)+$N$3*($L$4-$L$1),0))</f>
        <v>12804.192000000001</v>
      </c>
      <c r="G70" s="247">
        <f>E70*$G$10</f>
        <v>20891.696</v>
      </c>
      <c r="H70" s="247">
        <f>E70/100*0.5</f>
        <v>507.08</v>
      </c>
      <c r="I70" s="247">
        <f>F70+G70+H70</f>
        <v>34202.968</v>
      </c>
      <c r="J70" s="246">
        <f>E70+I70</f>
        <v>135618.968</v>
      </c>
      <c r="K70" s="181">
        <f>J70/$K$10</f>
        <v>11301.580666666667</v>
      </c>
      <c r="L70" s="181">
        <f>J70/$L$10</f>
        <v>616.44985454545451</v>
      </c>
      <c r="M70" s="181">
        <f>J70/$M$10</f>
        <v>3082.2492727272725</v>
      </c>
      <c r="N70" s="181">
        <f>J70/$N$10</f>
        <v>82.193313939393931</v>
      </c>
      <c r="P70" s="181">
        <f>0.1*C70</f>
        <v>9925.4000000000015</v>
      </c>
      <c r="Q70" s="181">
        <f>0.1*J70</f>
        <v>13561.8968</v>
      </c>
      <c r="R70" s="229"/>
    </row>
    <row r="71" spans="1:18">
      <c r="A71" s="257" t="s">
        <v>271</v>
      </c>
      <c r="B71" s="258" t="s">
        <v>269</v>
      </c>
      <c r="C71" s="259">
        <v>105042</v>
      </c>
      <c r="D71" s="246">
        <v>2162</v>
      </c>
      <c r="E71" s="246">
        <f>C71+D71</f>
        <v>107204</v>
      </c>
      <c r="F71" s="181">
        <f>IF(E71&gt;$L$5,$N$5*(E71-$L$5)+$N$4*($L$5-$L$4)+$N$3*($L$4-$L$1),IF($L$5&gt;E71&gt;$L$4,$N$4*(E71-$L$4)+$N$3*($L$4-$L$1),0))</f>
        <v>13602.936000000002</v>
      </c>
      <c r="G71" s="247">
        <f>E71*$G$10</f>
        <v>22084.023999999998</v>
      </c>
      <c r="H71" s="247">
        <f>E71/100*0.5</f>
        <v>536.02</v>
      </c>
      <c r="I71" s="247">
        <f>F71+G71+H71</f>
        <v>36222.979999999996</v>
      </c>
      <c r="J71" s="246">
        <f>E71+I71</f>
        <v>143426.97999999998</v>
      </c>
      <c r="K71" s="181">
        <f>J71/$K$10</f>
        <v>11952.248333333331</v>
      </c>
      <c r="L71" s="181">
        <f>J71/$L$10</f>
        <v>651.94081818181814</v>
      </c>
      <c r="M71" s="181">
        <f>J71/$M$10</f>
        <v>3259.7040909090906</v>
      </c>
      <c r="N71" s="181">
        <f>J71/$N$10</f>
        <v>86.925442424242419</v>
      </c>
      <c r="P71" s="181">
        <f>0.1*C71</f>
        <v>10504.2</v>
      </c>
      <c r="Q71" s="181">
        <f>0.1*J71</f>
        <v>14342.697999999999</v>
      </c>
      <c r="R71" s="229"/>
    </row>
    <row r="72" spans="1:18">
      <c r="A72" s="257"/>
      <c r="B72" s="258"/>
      <c r="C72" s="259"/>
      <c r="D72" s="246"/>
      <c r="E72" s="246"/>
      <c r="F72" s="181"/>
      <c r="G72" s="247"/>
      <c r="H72" s="247"/>
      <c r="I72" s="247"/>
      <c r="J72" s="246"/>
      <c r="K72" s="181"/>
      <c r="L72" s="181"/>
      <c r="M72" s="181"/>
      <c r="N72" s="181"/>
      <c r="P72" s="181"/>
      <c r="Q72" s="181"/>
      <c r="R72" s="229"/>
    </row>
    <row r="73" spans="1:18">
      <c r="A73" s="257"/>
      <c r="B73" s="258"/>
      <c r="C73" s="259"/>
      <c r="D73" s="246"/>
      <c r="E73" s="246"/>
      <c r="F73" s="181"/>
      <c r="G73" s="247"/>
      <c r="H73" s="247"/>
      <c r="I73" s="247"/>
      <c r="J73" s="246"/>
      <c r="K73" s="181"/>
      <c r="L73" s="181"/>
      <c r="M73" s="181"/>
      <c r="N73" s="181"/>
      <c r="P73" s="181"/>
      <c r="Q73" s="181"/>
      <c r="R73" s="229"/>
    </row>
    <row r="74" spans="1:18">
      <c r="A74" s="257" t="s">
        <v>272</v>
      </c>
      <c r="B74" s="258" t="s">
        <v>203</v>
      </c>
      <c r="C74" s="259">
        <v>79744</v>
      </c>
      <c r="D74" s="246">
        <v>2162</v>
      </c>
      <c r="E74" s="246">
        <f>C74+D74</f>
        <v>81906</v>
      </c>
      <c r="F74" s="181">
        <f>IF(E74&gt;$L$5,$N$5*(E74-$L$5)+$N$4*($L$5-$L$4)+$N$3*($L$4-$L$1),IF($L$5&gt;E74&gt;$L$4,$N$4*(E74-$L$4)+$N$3*($L$4-$L$1),0))</f>
        <v>10111.812000000002</v>
      </c>
      <c r="G74" s="247">
        <f>E74*$G$10</f>
        <v>16872.636</v>
      </c>
      <c r="H74" s="247">
        <f>E74/100*0.5</f>
        <v>409.53</v>
      </c>
      <c r="I74" s="247">
        <f>F74+G74+H74</f>
        <v>27393.978</v>
      </c>
      <c r="J74" s="246">
        <f>E74+I74</f>
        <v>109299.978</v>
      </c>
      <c r="K74" s="181">
        <f>J74/$K$10</f>
        <v>9108.3315</v>
      </c>
      <c r="L74" s="181">
        <f>J74/$L$10</f>
        <v>496.81808181818184</v>
      </c>
      <c r="M74" s="181">
        <f>J74/$M$10</f>
        <v>2484.0904090909094</v>
      </c>
      <c r="N74" s="181">
        <f>J74/$N$10</f>
        <v>66.2424109090909</v>
      </c>
      <c r="P74" s="181">
        <f>0.1*C74</f>
        <v>7974.4000000000005</v>
      </c>
      <c r="Q74" s="181">
        <f>0.1*J74</f>
        <v>10929.997800000001</v>
      </c>
      <c r="R74" s="229"/>
    </row>
    <row r="75" spans="1:18">
      <c r="A75" s="257" t="s">
        <v>272</v>
      </c>
      <c r="B75" s="258" t="s">
        <v>211</v>
      </c>
      <c r="C75" s="259">
        <v>82792</v>
      </c>
      <c r="D75" s="246">
        <v>2162</v>
      </c>
      <c r="E75" s="246">
        <f>C75+D75</f>
        <v>84954</v>
      </c>
      <c r="F75" s="181">
        <f>IF(E75&gt;$L$5,$N$5*(E75-$L$5)+$N$4*($L$5-$L$4)+$N$3*($L$4-$L$1),IF($L$5&gt;E75&gt;$L$4,$N$4*(E75-$L$4)+$N$3*($L$4-$L$1),0))</f>
        <v>10532.436000000002</v>
      </c>
      <c r="G75" s="247">
        <f>E75*$G$10</f>
        <v>17500.523999999998</v>
      </c>
      <c r="H75" s="247">
        <f>E75/100*0.5</f>
        <v>424.77</v>
      </c>
      <c r="I75" s="247">
        <f>F75+G75+H75</f>
        <v>28457.73</v>
      </c>
      <c r="J75" s="246">
        <f>E75+I75</f>
        <v>113411.73</v>
      </c>
      <c r="K75" s="181">
        <f>J75/$K$10</f>
        <v>9450.9774999999991</v>
      </c>
      <c r="L75" s="181">
        <f>J75/$L$10</f>
        <v>515.5078636363636</v>
      </c>
      <c r="M75" s="181">
        <f>J75/$M$10</f>
        <v>2577.5393181818181</v>
      </c>
      <c r="N75" s="181">
        <f>J75/$N$10</f>
        <v>68.734381818181816</v>
      </c>
      <c r="P75" s="181">
        <f>0.1*C75</f>
        <v>8279.2</v>
      </c>
      <c r="Q75" s="181">
        <f>0.1*J75</f>
        <v>11341.173</v>
      </c>
      <c r="R75" s="229"/>
    </row>
    <row r="76" spans="1:18">
      <c r="A76" s="257" t="s">
        <v>272</v>
      </c>
      <c r="B76" s="258" t="s">
        <v>212</v>
      </c>
      <c r="C76" s="259">
        <v>85232</v>
      </c>
      <c r="D76" s="246">
        <v>2162</v>
      </c>
      <c r="E76" s="246">
        <f>C76+D76</f>
        <v>87394</v>
      </c>
      <c r="F76" s="181">
        <f>IF(E76&gt;$L$5,$N$5*(E76-$L$5)+$N$4*($L$5-$L$4)+$N$3*($L$4-$L$1),IF($L$5&gt;E76&gt;$L$4,$N$4*(E76-$L$4)+$N$3*($L$4-$L$1),0))</f>
        <v>10869.156</v>
      </c>
      <c r="G76" s="247">
        <f>E76*$G$10</f>
        <v>18003.164</v>
      </c>
      <c r="H76" s="247">
        <f>E76/100*0.5</f>
        <v>436.97</v>
      </c>
      <c r="I76" s="247">
        <f>F76+G76+H76</f>
        <v>29309.29</v>
      </c>
      <c r="J76" s="246">
        <f>E76+I76</f>
        <v>116703.29000000001</v>
      </c>
      <c r="K76" s="181">
        <f>J76/$K$10</f>
        <v>9725.274166666668</v>
      </c>
      <c r="L76" s="181">
        <f>J76/$L$10</f>
        <v>530.4695</v>
      </c>
      <c r="M76" s="181">
        <f>J76/$M$10</f>
        <v>2652.3475000000003</v>
      </c>
      <c r="N76" s="181">
        <f>J76/$N$10</f>
        <v>70.729266666666675</v>
      </c>
      <c r="P76" s="181">
        <f>0.1*C76</f>
        <v>8523.2</v>
      </c>
      <c r="Q76" s="181">
        <f>0.1*J76</f>
        <v>11670.329000000002</v>
      </c>
      <c r="R76" s="229"/>
    </row>
    <row r="77" spans="1:18">
      <c r="A77" s="257" t="s">
        <v>272</v>
      </c>
      <c r="B77" s="258" t="s">
        <v>214</v>
      </c>
      <c r="C77" s="259">
        <v>87665</v>
      </c>
      <c r="D77" s="246">
        <v>2162</v>
      </c>
      <c r="E77" s="246">
        <f>C77+D77</f>
        <v>89827</v>
      </c>
      <c r="F77" s="181">
        <f>IF(E77&gt;$L$5,$N$5*(E77-$L$5)+$N$4*($L$5-$L$4)+$N$3*($L$4-$L$1),IF($L$5&gt;E77&gt;$L$4,$N$4*(E77-$L$4)+$N$3*($L$4-$L$1),0))</f>
        <v>11204.91</v>
      </c>
      <c r="G77" s="247">
        <f>E77*$G$10</f>
        <v>18504.361999999997</v>
      </c>
      <c r="H77" s="247">
        <f>E77/100*0.5</f>
        <v>449.135</v>
      </c>
      <c r="I77" s="247">
        <f>F77+G77+H77</f>
        <v>30158.406999999996</v>
      </c>
      <c r="J77" s="246">
        <f>E77+I77</f>
        <v>119985.40699999999</v>
      </c>
      <c r="K77" s="181">
        <f>J77/$K$10</f>
        <v>9998.7839166666654</v>
      </c>
      <c r="L77" s="181">
        <f>J77/$L$10</f>
        <v>545.38821363636362</v>
      </c>
      <c r="M77" s="181">
        <f>J77/$M$10</f>
        <v>2726.9410681818181</v>
      </c>
      <c r="N77" s="181">
        <f>J77/$N$10</f>
        <v>72.718428484848474</v>
      </c>
      <c r="P77" s="181">
        <f>0.1*C77</f>
        <v>8766.5</v>
      </c>
      <c r="Q77" s="181">
        <f>0.1*J77</f>
        <v>11998.5407</v>
      </c>
      <c r="R77" s="229"/>
    </row>
    <row r="78" spans="1:18">
      <c r="A78" s="257" t="s">
        <v>272</v>
      </c>
      <c r="B78" s="258" t="s">
        <v>220</v>
      </c>
      <c r="C78" s="259">
        <v>87665</v>
      </c>
      <c r="D78" s="246">
        <v>2162</v>
      </c>
      <c r="E78" s="246">
        <f>C78+D78</f>
        <v>89827</v>
      </c>
      <c r="F78" s="181">
        <f>IF(E78&gt;$L$5,$N$5*(E78-$L$5)+$N$4*($L$5-$L$4)+$N$3*($L$4-$L$1),IF($L$5&gt;E78&gt;$L$4,$N$4*(E78-$L$4)+$N$3*($L$4-$L$1),0))</f>
        <v>11204.91</v>
      </c>
      <c r="G78" s="247">
        <f>E78*$G$10</f>
        <v>18504.361999999997</v>
      </c>
      <c r="H78" s="247">
        <f>E78/100*0.5</f>
        <v>449.135</v>
      </c>
      <c r="I78" s="247">
        <f>F78+G78+H78</f>
        <v>30158.406999999996</v>
      </c>
      <c r="J78" s="246">
        <f>E78+I78</f>
        <v>119985.40699999999</v>
      </c>
      <c r="K78" s="181">
        <f>J78/$K$10</f>
        <v>9998.7839166666654</v>
      </c>
      <c r="L78" s="181">
        <f>J78/$L$10</f>
        <v>545.38821363636362</v>
      </c>
      <c r="M78" s="181">
        <f>J78/$M$10</f>
        <v>2726.9410681818181</v>
      </c>
      <c r="N78" s="181">
        <f>J78/$N$10</f>
        <v>72.718428484848474</v>
      </c>
      <c r="P78" s="181">
        <f>0.1*C78</f>
        <v>8766.5</v>
      </c>
      <c r="Q78" s="181">
        <f>0.1*J78</f>
        <v>11998.5407</v>
      </c>
      <c r="R78" s="229"/>
    </row>
    <row r="79" spans="1:18">
      <c r="A79" s="257" t="s">
        <v>272</v>
      </c>
      <c r="B79" s="258" t="s">
        <v>221</v>
      </c>
      <c r="C79" s="259">
        <v>87665</v>
      </c>
      <c r="D79" s="246">
        <v>2162</v>
      </c>
      <c r="E79" s="246">
        <f>C79+D79</f>
        <v>89827</v>
      </c>
      <c r="F79" s="181">
        <f>IF(E79&gt;$L$5,$N$5*(E79-$L$5)+$N$4*($L$5-$L$4)+$N$3*($L$4-$L$1),IF($L$5&gt;E79&gt;$L$4,$N$4*(E79-$L$4)+$N$3*($L$4-$L$1),0))</f>
        <v>11204.91</v>
      </c>
      <c r="G79" s="247">
        <f>E79*$G$10</f>
        <v>18504.361999999997</v>
      </c>
      <c r="H79" s="247">
        <f>E79/100*0.5</f>
        <v>449.135</v>
      </c>
      <c r="I79" s="247">
        <f>F79+G79+H79</f>
        <v>30158.406999999996</v>
      </c>
      <c r="J79" s="246">
        <f>E79+I79</f>
        <v>119985.40699999999</v>
      </c>
      <c r="K79" s="181">
        <f>J79/$K$10</f>
        <v>9998.7839166666654</v>
      </c>
      <c r="L79" s="181">
        <f>J79/$L$10</f>
        <v>545.38821363636362</v>
      </c>
      <c r="M79" s="181">
        <f>J79/$M$10</f>
        <v>2726.9410681818181</v>
      </c>
      <c r="N79" s="181">
        <f>J79/$N$10</f>
        <v>72.718428484848474</v>
      </c>
      <c r="P79" s="181">
        <f>0.1*C79</f>
        <v>8766.5</v>
      </c>
      <c r="Q79" s="181">
        <f>0.1*J79</f>
        <v>11998.5407</v>
      </c>
      <c r="R79" s="229"/>
    </row>
    <row r="80" spans="1:18">
      <c r="A80" s="257" t="s">
        <v>272</v>
      </c>
      <c r="B80" s="258" t="s">
        <v>259</v>
      </c>
      <c r="C80" s="259">
        <v>93459</v>
      </c>
      <c r="D80" s="246">
        <v>2162</v>
      </c>
      <c r="E80" s="246">
        <f>C80+D80</f>
        <v>95621</v>
      </c>
      <c r="F80" s="181">
        <f>IF(E80&gt;$L$5,$N$5*(E80-$L$5)+$N$4*($L$5-$L$4)+$N$3*($L$4-$L$1),IF($L$5&gt;E80&gt;$L$4,$N$4*(E80-$L$4)+$N$3*($L$4-$L$1),0))</f>
        <v>12004.482</v>
      </c>
      <c r="G80" s="247">
        <f>E80*$G$10</f>
        <v>19697.926</v>
      </c>
      <c r="H80" s="247">
        <f>E80/100*0.5</f>
        <v>478.105</v>
      </c>
      <c r="I80" s="247">
        <f>F80+G80+H80</f>
        <v>32180.513</v>
      </c>
      <c r="J80" s="246">
        <f>E80+I80</f>
        <v>127801.513</v>
      </c>
      <c r="K80" s="181">
        <f>J80/$K$10</f>
        <v>10650.126083333334</v>
      </c>
      <c r="L80" s="181">
        <f>J80/$L$10</f>
        <v>580.91596818181824</v>
      </c>
      <c r="M80" s="181">
        <f>J80/$M$10</f>
        <v>2904.5798409090912</v>
      </c>
      <c r="N80" s="181">
        <f>J80/$N$10</f>
        <v>77.455462424242427</v>
      </c>
      <c r="P80" s="181">
        <f>0.1*C80</f>
        <v>9345.9</v>
      </c>
      <c r="Q80" s="181">
        <f>0.1*J80</f>
        <v>12780.151300000001</v>
      </c>
      <c r="R80" s="229"/>
    </row>
    <row r="81" spans="1:18">
      <c r="A81" s="257" t="s">
        <v>272</v>
      </c>
      <c r="B81" s="258" t="s">
        <v>260</v>
      </c>
      <c r="C81" s="259">
        <v>93459</v>
      </c>
      <c r="D81" s="246">
        <v>2162</v>
      </c>
      <c r="E81" s="246">
        <f>C81+D81</f>
        <v>95621</v>
      </c>
      <c r="F81" s="181">
        <f>IF(E81&gt;$L$5,$N$5*(E81-$L$5)+$N$4*($L$5-$L$4)+$N$3*($L$4-$L$1),IF($L$5&gt;E81&gt;$L$4,$N$4*(E81-$L$4)+$N$3*($L$4-$L$1),0))</f>
        <v>12004.482</v>
      </c>
      <c r="G81" s="247">
        <f>E81*$G$10</f>
        <v>19697.926</v>
      </c>
      <c r="H81" s="247">
        <f>E81/100*0.5</f>
        <v>478.105</v>
      </c>
      <c r="I81" s="247">
        <f>F81+G81+H81</f>
        <v>32180.513</v>
      </c>
      <c r="J81" s="246">
        <f>E81+I81</f>
        <v>127801.513</v>
      </c>
      <c r="K81" s="181">
        <f>J81/$K$10</f>
        <v>10650.126083333334</v>
      </c>
      <c r="L81" s="181">
        <f>J81/$L$10</f>
        <v>580.91596818181824</v>
      </c>
      <c r="M81" s="181">
        <f>J81/$M$10</f>
        <v>2904.5798409090912</v>
      </c>
      <c r="N81" s="181">
        <f>J81/$N$10</f>
        <v>77.455462424242427</v>
      </c>
      <c r="P81" s="181">
        <f>0.1*C81</f>
        <v>9345.9</v>
      </c>
      <c r="Q81" s="181">
        <f>0.1*J81</f>
        <v>12780.151300000001</v>
      </c>
      <c r="R81" s="229"/>
    </row>
    <row r="82" spans="1:18">
      <c r="A82" s="257" t="s">
        <v>272</v>
      </c>
      <c r="B82" s="258" t="s">
        <v>261</v>
      </c>
      <c r="C82" s="259">
        <v>93459</v>
      </c>
      <c r="D82" s="246">
        <v>2162</v>
      </c>
      <c r="E82" s="246">
        <f>C82+D82</f>
        <v>95621</v>
      </c>
      <c r="F82" s="181">
        <f>IF(E82&gt;$L$5,$N$5*(E82-$L$5)+$N$4*($L$5-$L$4)+$N$3*($L$4-$L$1),IF($L$5&gt;E82&gt;$L$4,$N$4*(E82-$L$4)+$N$3*($L$4-$L$1),0))</f>
        <v>12004.482</v>
      </c>
      <c r="G82" s="247">
        <f>E82*$G$10</f>
        <v>19697.926</v>
      </c>
      <c r="H82" s="247">
        <f>E82/100*0.5</f>
        <v>478.105</v>
      </c>
      <c r="I82" s="247">
        <f>F82+G82+H82</f>
        <v>32180.513</v>
      </c>
      <c r="J82" s="246">
        <f>E82+I82</f>
        <v>127801.513</v>
      </c>
      <c r="K82" s="181">
        <f>J82/$K$10</f>
        <v>10650.126083333334</v>
      </c>
      <c r="L82" s="181">
        <f>J82/$L$10</f>
        <v>580.91596818181824</v>
      </c>
      <c r="M82" s="181">
        <f>J82/$M$10</f>
        <v>2904.5798409090912</v>
      </c>
      <c r="N82" s="181">
        <f>J82/$N$10</f>
        <v>77.455462424242427</v>
      </c>
      <c r="P82" s="181">
        <f>0.1*C82</f>
        <v>9345.9</v>
      </c>
      <c r="Q82" s="181">
        <f>0.1*J82</f>
        <v>12780.151300000001</v>
      </c>
      <c r="R82" s="229"/>
    </row>
    <row r="83" spans="1:18">
      <c r="A83" s="257" t="s">
        <v>272</v>
      </c>
      <c r="B83" s="258" t="s">
        <v>262</v>
      </c>
      <c r="C83" s="259">
        <v>93459</v>
      </c>
      <c r="D83" s="246">
        <v>2162</v>
      </c>
      <c r="E83" s="246">
        <f>C83+D83</f>
        <v>95621</v>
      </c>
      <c r="F83" s="181">
        <f>IF(E83&gt;$L$5,$N$5*(E83-$L$5)+$N$4*($L$5-$L$4)+$N$3*($L$4-$L$1),IF($L$5&gt;E83&gt;$L$4,$N$4*(E83-$L$4)+$N$3*($L$4-$L$1),0))</f>
        <v>12004.482</v>
      </c>
      <c r="G83" s="247">
        <f>E83*$G$10</f>
        <v>19697.926</v>
      </c>
      <c r="H83" s="247">
        <f>E83/100*0.5</f>
        <v>478.105</v>
      </c>
      <c r="I83" s="247">
        <f>F83+G83+H83</f>
        <v>32180.513</v>
      </c>
      <c r="J83" s="246">
        <f>E83+I83</f>
        <v>127801.513</v>
      </c>
      <c r="K83" s="181">
        <f>J83/$K$10</f>
        <v>10650.126083333334</v>
      </c>
      <c r="L83" s="181">
        <f>J83/$L$10</f>
        <v>580.91596818181824</v>
      </c>
      <c r="M83" s="181">
        <f>J83/$M$10</f>
        <v>2904.5798409090912</v>
      </c>
      <c r="N83" s="181">
        <f>J83/$N$10</f>
        <v>77.455462424242427</v>
      </c>
      <c r="P83" s="181">
        <f>0.1*C83</f>
        <v>9345.9</v>
      </c>
      <c r="Q83" s="181">
        <f>0.1*J83</f>
        <v>12780.151300000001</v>
      </c>
      <c r="R83" s="229"/>
    </row>
    <row r="84" spans="1:18">
      <c r="A84" s="257" t="s">
        <v>272</v>
      </c>
      <c r="B84" s="258" t="s">
        <v>263</v>
      </c>
      <c r="C84" s="259">
        <v>93459</v>
      </c>
      <c r="D84" s="246">
        <v>2162</v>
      </c>
      <c r="E84" s="246">
        <f>C84+D84</f>
        <v>95621</v>
      </c>
      <c r="F84" s="181">
        <f>IF(E84&gt;$L$5,$N$5*(E84-$L$5)+$N$4*($L$5-$L$4)+$N$3*($L$4-$L$1),IF($L$5&gt;E84&gt;$L$4,$N$4*(E84-$L$4)+$N$3*($L$4-$L$1),0))</f>
        <v>12004.482</v>
      </c>
      <c r="G84" s="247">
        <f>E84*$G$10</f>
        <v>19697.926</v>
      </c>
      <c r="H84" s="247">
        <f>E84/100*0.5</f>
        <v>478.105</v>
      </c>
      <c r="I84" s="247">
        <f>F84+G84+H84</f>
        <v>32180.513</v>
      </c>
      <c r="J84" s="246">
        <f>E84+I84</f>
        <v>127801.513</v>
      </c>
      <c r="K84" s="181">
        <f>J84/$K$10</f>
        <v>10650.126083333334</v>
      </c>
      <c r="L84" s="181">
        <f>J84/$L$10</f>
        <v>580.91596818181824</v>
      </c>
      <c r="M84" s="181">
        <f>J84/$M$10</f>
        <v>2904.5798409090912</v>
      </c>
      <c r="N84" s="181">
        <f>J84/$N$10</f>
        <v>77.455462424242427</v>
      </c>
      <c r="P84" s="181">
        <f>0.1*C84</f>
        <v>9345.9</v>
      </c>
      <c r="Q84" s="181">
        <f>0.1*J84</f>
        <v>12780.151300000001</v>
      </c>
      <c r="R84" s="229"/>
    </row>
    <row r="85" spans="1:18">
      <c r="A85" s="257" t="s">
        <v>272</v>
      </c>
      <c r="B85" s="258" t="s">
        <v>264</v>
      </c>
      <c r="C85" s="259">
        <v>99254</v>
      </c>
      <c r="D85" s="246">
        <v>2162</v>
      </c>
      <c r="E85" s="246">
        <f>C85+D85</f>
        <v>101416</v>
      </c>
      <c r="F85" s="181">
        <f>IF(E85&gt;$L$5,$N$5*(E85-$L$5)+$N$4*($L$5-$L$4)+$N$3*($L$4-$L$1),IF($L$5&gt;E85&gt;$L$4,$N$4*(E85-$L$4)+$N$3*($L$4-$L$1),0))</f>
        <v>12804.192000000001</v>
      </c>
      <c r="G85" s="247">
        <f>E85*$G$10</f>
        <v>20891.696</v>
      </c>
      <c r="H85" s="247">
        <f>E85/100*0.5</f>
        <v>507.08</v>
      </c>
      <c r="I85" s="247">
        <f>F85+G85+H85</f>
        <v>34202.968</v>
      </c>
      <c r="J85" s="246">
        <f>E85+I85</f>
        <v>135618.968</v>
      </c>
      <c r="K85" s="181">
        <f>J85/$K$10</f>
        <v>11301.580666666667</v>
      </c>
      <c r="L85" s="181">
        <f>J85/$L$10</f>
        <v>616.44985454545451</v>
      </c>
      <c r="M85" s="181">
        <f>J85/$M$10</f>
        <v>3082.2492727272725</v>
      </c>
      <c r="N85" s="181">
        <f>J85/$N$10</f>
        <v>82.193313939393931</v>
      </c>
      <c r="P85" s="181">
        <f>0.1*C85</f>
        <v>9925.4000000000015</v>
      </c>
      <c r="Q85" s="181">
        <f>0.1*J85</f>
        <v>13561.8968</v>
      </c>
      <c r="R85" s="229"/>
    </row>
    <row r="86" spans="1:18">
      <c r="A86" s="257" t="s">
        <v>272</v>
      </c>
      <c r="B86" s="258" t="s">
        <v>265</v>
      </c>
      <c r="C86" s="259">
        <v>99254</v>
      </c>
      <c r="D86" s="246">
        <v>2162</v>
      </c>
      <c r="E86" s="246">
        <f>C86+D86</f>
        <v>101416</v>
      </c>
      <c r="F86" s="181">
        <f>IF(E86&gt;$L$5,$N$5*(E86-$L$5)+$N$4*($L$5-$L$4)+$N$3*($L$4-$L$1),IF($L$5&gt;E86&gt;$L$4,$N$4*(E86-$L$4)+$N$3*($L$4-$L$1),0))</f>
        <v>12804.192000000001</v>
      </c>
      <c r="G86" s="247">
        <f>E86*$G$10</f>
        <v>20891.696</v>
      </c>
      <c r="H86" s="247">
        <f>E86/100*0.5</f>
        <v>507.08</v>
      </c>
      <c r="I86" s="247">
        <f>F86+G86+H86</f>
        <v>34202.968</v>
      </c>
      <c r="J86" s="246">
        <f>E86+I86</f>
        <v>135618.968</v>
      </c>
      <c r="K86" s="181">
        <f>J86/$K$10</f>
        <v>11301.580666666667</v>
      </c>
      <c r="L86" s="181">
        <f>J86/$L$10</f>
        <v>616.44985454545451</v>
      </c>
      <c r="M86" s="181">
        <f>J86/$M$10</f>
        <v>3082.2492727272725</v>
      </c>
      <c r="N86" s="181">
        <f>J86/$N$10</f>
        <v>82.193313939393931</v>
      </c>
      <c r="P86" s="181">
        <f>0.1*C86</f>
        <v>9925.4000000000015</v>
      </c>
      <c r="Q86" s="181">
        <f>0.1*J86</f>
        <v>13561.8968</v>
      </c>
      <c r="R86" s="229"/>
    </row>
    <row r="87" spans="1:18">
      <c r="A87" s="257" t="s">
        <v>272</v>
      </c>
      <c r="B87" s="258" t="s">
        <v>266</v>
      </c>
      <c r="C87" s="259">
        <v>99254</v>
      </c>
      <c r="D87" s="246">
        <v>2162</v>
      </c>
      <c r="E87" s="246">
        <f>C87+D87</f>
        <v>101416</v>
      </c>
      <c r="F87" s="181">
        <f>IF(E87&gt;$L$5,$N$5*(E87-$L$5)+$N$4*($L$5-$L$4)+$N$3*($L$4-$L$1),IF($L$5&gt;E87&gt;$L$4,$N$4*(E87-$L$4)+$N$3*($L$4-$L$1),0))</f>
        <v>12804.192000000001</v>
      </c>
      <c r="G87" s="247">
        <f>E87*$G$10</f>
        <v>20891.696</v>
      </c>
      <c r="H87" s="247">
        <f>E87/100*0.5</f>
        <v>507.08</v>
      </c>
      <c r="I87" s="247">
        <f>F87+G87+H87</f>
        <v>34202.968</v>
      </c>
      <c r="J87" s="246">
        <f>E87+I87</f>
        <v>135618.968</v>
      </c>
      <c r="K87" s="181">
        <f>J87/$K$10</f>
        <v>11301.580666666667</v>
      </c>
      <c r="L87" s="181">
        <f>J87/$L$10</f>
        <v>616.44985454545451</v>
      </c>
      <c r="M87" s="181">
        <f>J87/$M$10</f>
        <v>3082.2492727272725</v>
      </c>
      <c r="N87" s="181">
        <f>J87/$N$10</f>
        <v>82.193313939393931</v>
      </c>
      <c r="P87" s="181">
        <f>0.1*C87</f>
        <v>9925.4000000000015</v>
      </c>
      <c r="Q87" s="181">
        <f>0.1*J87</f>
        <v>13561.8968</v>
      </c>
      <c r="R87" s="229"/>
    </row>
    <row r="88" spans="1:18">
      <c r="A88" s="257" t="s">
        <v>272</v>
      </c>
      <c r="B88" s="258" t="s">
        <v>267</v>
      </c>
      <c r="C88" s="259">
        <v>99254</v>
      </c>
      <c r="D88" s="246">
        <v>2162</v>
      </c>
      <c r="E88" s="246">
        <f>C88+D88</f>
        <v>101416</v>
      </c>
      <c r="F88" s="181">
        <f>IF(E88&gt;$L$5,$N$5*(E88-$L$5)+$N$4*($L$5-$L$4)+$N$3*($L$4-$L$1),IF($L$5&gt;E88&gt;$L$4,$N$4*(E88-$L$4)+$N$3*($L$4-$L$1),0))</f>
        <v>12804.192000000001</v>
      </c>
      <c r="G88" s="247">
        <f>E88*$G$10</f>
        <v>20891.696</v>
      </c>
      <c r="H88" s="247">
        <f>E88/100*0.5</f>
        <v>507.08</v>
      </c>
      <c r="I88" s="247">
        <f>F88+G88+H88</f>
        <v>34202.968</v>
      </c>
      <c r="J88" s="246">
        <f>E88+I88</f>
        <v>135618.968</v>
      </c>
      <c r="K88" s="181">
        <f>J88/$K$10</f>
        <v>11301.580666666667</v>
      </c>
      <c r="L88" s="181">
        <f>J88/$L$10</f>
        <v>616.44985454545451</v>
      </c>
      <c r="M88" s="181">
        <f>J88/$M$10</f>
        <v>3082.2492727272725</v>
      </c>
      <c r="N88" s="181">
        <f>J88/$N$10</f>
        <v>82.193313939393931</v>
      </c>
      <c r="P88" s="181">
        <f>0.1*C88</f>
        <v>9925.4000000000015</v>
      </c>
      <c r="Q88" s="181">
        <f>0.1*J88</f>
        <v>13561.8968</v>
      </c>
      <c r="R88" s="229"/>
    </row>
    <row r="89" spans="1:18">
      <c r="A89" s="257" t="s">
        <v>272</v>
      </c>
      <c r="B89" s="258" t="s">
        <v>268</v>
      </c>
      <c r="C89" s="259">
        <v>99254</v>
      </c>
      <c r="D89" s="246">
        <v>2162</v>
      </c>
      <c r="E89" s="246">
        <f>C89+D89</f>
        <v>101416</v>
      </c>
      <c r="F89" s="181">
        <f>IF(E89&gt;$L$5,$N$5*(E89-$L$5)+$N$4*($L$5-$L$4)+$N$3*($L$4-$L$1),IF($L$5&gt;E89&gt;$L$4,$N$4*(E89-$L$4)+$N$3*($L$4-$L$1),0))</f>
        <v>12804.192000000001</v>
      </c>
      <c r="G89" s="247">
        <f>E89*$G$10</f>
        <v>20891.696</v>
      </c>
      <c r="H89" s="247">
        <f>E89/100*0.5</f>
        <v>507.08</v>
      </c>
      <c r="I89" s="247">
        <f>F89+G89+H89</f>
        <v>34202.968</v>
      </c>
      <c r="J89" s="246">
        <f>E89+I89</f>
        <v>135618.968</v>
      </c>
      <c r="K89" s="181">
        <f>J89/$K$10</f>
        <v>11301.580666666667</v>
      </c>
      <c r="L89" s="181">
        <f>J89/$L$10</f>
        <v>616.44985454545451</v>
      </c>
      <c r="M89" s="181">
        <f>J89/$M$10</f>
        <v>3082.2492727272725</v>
      </c>
      <c r="N89" s="181">
        <f>J89/$N$10</f>
        <v>82.193313939393931</v>
      </c>
      <c r="P89" s="181">
        <f>0.1*C89</f>
        <v>9925.4000000000015</v>
      </c>
      <c r="Q89" s="181">
        <f>0.1*J89</f>
        <v>13561.8968</v>
      </c>
      <c r="R89" s="229"/>
    </row>
    <row r="90" spans="1:18">
      <c r="A90" s="257" t="s">
        <v>272</v>
      </c>
      <c r="B90" s="258" t="s">
        <v>269</v>
      </c>
      <c r="C90" s="259">
        <v>105042</v>
      </c>
      <c r="D90" s="246">
        <v>2162</v>
      </c>
      <c r="E90" s="246">
        <f>C90+D90</f>
        <v>107204</v>
      </c>
      <c r="F90" s="181">
        <f>IF(E90&gt;$L$5,$N$5*(E90-$L$5)+$N$4*($L$5-$L$4)+$N$3*($L$4-$L$1),IF($L$5&gt;E90&gt;$L$4,$N$4*(E90-$L$4)+$N$3*($L$4-$L$1),0))</f>
        <v>13602.936000000002</v>
      </c>
      <c r="G90" s="247">
        <f>E90*$G$10</f>
        <v>22084.023999999998</v>
      </c>
      <c r="H90" s="247">
        <f>E90/100*0.5</f>
        <v>536.02</v>
      </c>
      <c r="I90" s="247">
        <f>F90+G90+H90</f>
        <v>36222.979999999996</v>
      </c>
      <c r="J90" s="246">
        <f>E90+I90</f>
        <v>143426.97999999998</v>
      </c>
      <c r="K90" s="181">
        <f>J90/$K$10</f>
        <v>11952.248333333331</v>
      </c>
      <c r="L90" s="181">
        <f>J90/$L$10</f>
        <v>651.94081818181814</v>
      </c>
      <c r="M90" s="181">
        <f>J90/$M$10</f>
        <v>3259.7040909090906</v>
      </c>
      <c r="N90" s="181">
        <f>J90/$N$10</f>
        <v>86.925442424242419</v>
      </c>
      <c r="P90" s="181">
        <f>0.1*C90</f>
        <v>10504.2</v>
      </c>
      <c r="Q90" s="181">
        <f>0.1*J90</f>
        <v>14342.697999999999</v>
      </c>
      <c r="R90" s="229"/>
    </row>
    <row r="91" spans="1:18">
      <c r="A91" s="257"/>
      <c r="B91" s="258"/>
      <c r="C91" s="259"/>
      <c r="D91" s="246"/>
      <c r="E91" s="246"/>
      <c r="F91" s="181"/>
      <c r="G91" s="247"/>
      <c r="H91" s="247"/>
      <c r="I91" s="247"/>
      <c r="J91" s="246"/>
      <c r="K91" s="181"/>
      <c r="L91" s="181"/>
      <c r="M91" s="181"/>
      <c r="N91" s="181"/>
      <c r="P91" s="181"/>
      <c r="Q91" s="181"/>
      <c r="R91" s="229"/>
    </row>
    <row r="92" spans="1:18">
      <c r="A92" s="257"/>
      <c r="B92" s="258"/>
      <c r="C92" s="259"/>
      <c r="D92" s="246"/>
      <c r="E92" s="246"/>
      <c r="F92" s="181"/>
      <c r="G92" s="247"/>
      <c r="H92" s="247"/>
      <c r="I92" s="247"/>
      <c r="J92" s="246"/>
      <c r="K92" s="181"/>
      <c r="L92" s="181"/>
      <c r="M92" s="181"/>
      <c r="N92" s="181"/>
      <c r="P92" s="181"/>
      <c r="Q92" s="181"/>
      <c r="R92" s="229"/>
    </row>
    <row r="93" spans="1:18">
      <c r="A93" s="257" t="s">
        <v>273</v>
      </c>
      <c r="B93" s="258" t="s">
        <v>212</v>
      </c>
      <c r="C93" s="259">
        <v>85232</v>
      </c>
      <c r="D93" s="246">
        <v>2162</v>
      </c>
      <c r="E93" s="246">
        <f>C93+D93</f>
        <v>87394</v>
      </c>
      <c r="F93" s="181">
        <f>IF(E93&gt;$L$5,$N$5*(E93-$L$5)+$N$4*($L$5-$L$4)+$N$3*($L$4-$L$1),IF($L$5&gt;E93&gt;$L$4,$N$4*(E93-$L$4)+$N$3*($L$4-$L$1),0))</f>
        <v>10869.156</v>
      </c>
      <c r="G93" s="247">
        <f>E93*$G$10</f>
        <v>18003.164</v>
      </c>
      <c r="H93" s="247">
        <f>E93/100*0.5</f>
        <v>436.97</v>
      </c>
      <c r="I93" s="247">
        <f>F93+G93+H93</f>
        <v>29309.29</v>
      </c>
      <c r="J93" s="246">
        <f>E93+I93</f>
        <v>116703.29000000001</v>
      </c>
      <c r="K93" s="181">
        <f>J93/$K$10</f>
        <v>9725.274166666668</v>
      </c>
      <c r="L93" s="181">
        <f>J93/$L$10</f>
        <v>530.4695</v>
      </c>
      <c r="M93" s="181">
        <f>J93/$M$10</f>
        <v>2652.3475000000003</v>
      </c>
      <c r="N93" s="181">
        <f>J93/$N$10</f>
        <v>70.729266666666675</v>
      </c>
      <c r="P93" s="181">
        <f>0.1*C93</f>
        <v>8523.2</v>
      </c>
      <c r="Q93" s="181">
        <f>0.1*J93</f>
        <v>11670.329000000002</v>
      </c>
      <c r="R93" s="229"/>
    </row>
    <row r="94" spans="1:18">
      <c r="A94" s="257" t="s">
        <v>273</v>
      </c>
      <c r="B94" s="258" t="s">
        <v>213</v>
      </c>
      <c r="C94" s="259">
        <v>86448</v>
      </c>
      <c r="D94" s="246">
        <v>2162</v>
      </c>
      <c r="E94" s="246">
        <f>C94+D94</f>
        <v>88610</v>
      </c>
      <c r="F94" s="181">
        <f>IF(E94&gt;$L$5,$N$5*(E94-$L$5)+$N$4*($L$5-$L$4)+$N$3*($L$4-$L$1),IF($L$5&gt;E94&gt;$L$4,$N$4*(E94-$L$4)+$N$3*($L$4-$L$1),0))</f>
        <v>11036.964</v>
      </c>
      <c r="G94" s="247">
        <f>E94*$G$10</f>
        <v>18253.66</v>
      </c>
      <c r="H94" s="247">
        <f>E94/100*0.5</f>
        <v>443.05</v>
      </c>
      <c r="I94" s="247">
        <f>F94+G94+H94</f>
        <v>29733.674</v>
      </c>
      <c r="J94" s="246">
        <f>E94+I94</f>
        <v>118343.674</v>
      </c>
      <c r="K94" s="181">
        <f>J94/$K$10</f>
        <v>9861.9728333333333</v>
      </c>
      <c r="L94" s="181">
        <f>J94/$L$10</f>
        <v>537.92579090909089</v>
      </c>
      <c r="M94" s="181">
        <f>J94/$M$10</f>
        <v>2689.6289545454547</v>
      </c>
      <c r="N94" s="181">
        <f>J94/$N$10</f>
        <v>71.723438787878791</v>
      </c>
      <c r="P94" s="181">
        <f>0.1*C94</f>
        <v>8644.8000000000011</v>
      </c>
      <c r="Q94" s="181">
        <f>0.1*J94</f>
        <v>11834.367400000001</v>
      </c>
      <c r="R94" s="229"/>
    </row>
    <row r="95" spans="1:18">
      <c r="A95" s="257" t="s">
        <v>273</v>
      </c>
      <c r="B95" s="258" t="s">
        <v>214</v>
      </c>
      <c r="C95" s="259">
        <v>87665</v>
      </c>
      <c r="D95" s="246">
        <v>2162</v>
      </c>
      <c r="E95" s="246">
        <f>C95+D95</f>
        <v>89827</v>
      </c>
      <c r="F95" s="181">
        <f>IF(E95&gt;$L$5,$N$5*(E95-$L$5)+$N$4*($L$5-$L$4)+$N$3*($L$4-$L$1),IF($L$5&gt;E95&gt;$L$4,$N$4*(E95-$L$4)+$N$3*($L$4-$L$1),0))</f>
        <v>11204.91</v>
      </c>
      <c r="G95" s="247">
        <f>E95*$G$10</f>
        <v>18504.361999999997</v>
      </c>
      <c r="H95" s="247">
        <f>E95/100*0.5</f>
        <v>449.135</v>
      </c>
      <c r="I95" s="247">
        <f>F95+G95+H95</f>
        <v>30158.406999999996</v>
      </c>
      <c r="J95" s="246">
        <f>E95+I95</f>
        <v>119985.40699999999</v>
      </c>
      <c r="K95" s="181">
        <f>J95/$K$10</f>
        <v>9998.7839166666654</v>
      </c>
      <c r="L95" s="181">
        <f>J95/$L$10</f>
        <v>545.38821363636362</v>
      </c>
      <c r="M95" s="181">
        <f>J95/$M$10</f>
        <v>2726.9410681818181</v>
      </c>
      <c r="N95" s="181">
        <f>J95/$N$10</f>
        <v>72.718428484848474</v>
      </c>
      <c r="P95" s="181">
        <f>0.1*C95</f>
        <v>8766.5</v>
      </c>
      <c r="Q95" s="181">
        <f>0.1*J95</f>
        <v>11998.5407</v>
      </c>
      <c r="R95" s="229"/>
    </row>
    <row r="96" spans="1:18">
      <c r="A96" s="257" t="s">
        <v>273</v>
      </c>
      <c r="B96" s="258" t="s">
        <v>220</v>
      </c>
      <c r="C96" s="259">
        <v>87665</v>
      </c>
      <c r="D96" s="246">
        <v>2162</v>
      </c>
      <c r="E96" s="246">
        <f>C96+D96</f>
        <v>89827</v>
      </c>
      <c r="F96" s="181">
        <f>IF(E96&gt;$L$5,$N$5*(E96-$L$5)+$N$4*($L$5-$L$4)+$N$3*($L$4-$L$1),IF($L$5&gt;E96&gt;$L$4,$N$4*(E96-$L$4)+$N$3*($L$4-$L$1),0))</f>
        <v>11204.91</v>
      </c>
      <c r="G96" s="247">
        <f>E96*$G$10</f>
        <v>18504.361999999997</v>
      </c>
      <c r="H96" s="247">
        <f>E96/100*0.5</f>
        <v>449.135</v>
      </c>
      <c r="I96" s="247">
        <f>F96+G96+H96</f>
        <v>30158.406999999996</v>
      </c>
      <c r="J96" s="246">
        <f>E96+I96</f>
        <v>119985.40699999999</v>
      </c>
      <c r="K96" s="181">
        <f>J96/$K$10</f>
        <v>9998.7839166666654</v>
      </c>
      <c r="L96" s="181">
        <f>J96/$L$10</f>
        <v>545.38821363636362</v>
      </c>
      <c r="M96" s="181">
        <f>J96/$M$10</f>
        <v>2726.9410681818181</v>
      </c>
      <c r="N96" s="181">
        <f>J96/$N$10</f>
        <v>72.718428484848474</v>
      </c>
      <c r="P96" s="181">
        <f>0.1*C96</f>
        <v>8766.5</v>
      </c>
      <c r="Q96" s="181">
        <f>0.1*J96</f>
        <v>11998.5407</v>
      </c>
      <c r="R96" s="229"/>
    </row>
    <row r="97" spans="1:18">
      <c r="A97" s="257" t="s">
        <v>273</v>
      </c>
      <c r="B97" s="258" t="s">
        <v>221</v>
      </c>
      <c r="C97" s="259">
        <v>87665</v>
      </c>
      <c r="D97" s="246">
        <v>2162</v>
      </c>
      <c r="E97" s="246">
        <f>C97+D97</f>
        <v>89827</v>
      </c>
      <c r="F97" s="181">
        <f>IF(E97&gt;$L$5,$N$5*(E97-$L$5)+$N$4*($L$5-$L$4)+$N$3*($L$4-$L$1),IF($L$5&gt;E97&gt;$L$4,$N$4*(E97-$L$4)+$N$3*($L$4-$L$1),0))</f>
        <v>11204.91</v>
      </c>
      <c r="G97" s="247">
        <f>E97*$G$10</f>
        <v>18504.361999999997</v>
      </c>
      <c r="H97" s="247">
        <f>E97/100*0.5</f>
        <v>449.135</v>
      </c>
      <c r="I97" s="247">
        <f>F97+G97+H97</f>
        <v>30158.406999999996</v>
      </c>
      <c r="J97" s="246">
        <f>E97+I97</f>
        <v>119985.40699999999</v>
      </c>
      <c r="K97" s="181">
        <f>J97/$K$10</f>
        <v>9998.7839166666654</v>
      </c>
      <c r="L97" s="181">
        <f>J97/$L$10</f>
        <v>545.38821363636362</v>
      </c>
      <c r="M97" s="181">
        <f>J97/$M$10</f>
        <v>2726.9410681818181</v>
      </c>
      <c r="N97" s="181">
        <f>J97/$N$10</f>
        <v>72.718428484848474</v>
      </c>
      <c r="P97" s="181">
        <f>0.1*C97</f>
        <v>8766.5</v>
      </c>
      <c r="Q97" s="181">
        <f>0.1*J97</f>
        <v>11998.5407</v>
      </c>
      <c r="R97" s="229"/>
    </row>
    <row r="98" spans="1:18">
      <c r="A98" s="257" t="s">
        <v>273</v>
      </c>
      <c r="B98" s="258" t="s">
        <v>257</v>
      </c>
      <c r="C98" s="259">
        <v>87665</v>
      </c>
      <c r="D98" s="246">
        <v>2162</v>
      </c>
      <c r="E98" s="246">
        <f>C98+D98</f>
        <v>89827</v>
      </c>
      <c r="F98" s="181">
        <f>IF(E98&gt;$L$5,$N$5*(E98-$L$5)+$N$4*($L$5-$L$4)+$N$3*($L$4-$L$1),IF($L$5&gt;E98&gt;$L$4,$N$4*(E98-$L$4)+$N$3*($L$4-$L$1),0))</f>
        <v>11204.91</v>
      </c>
      <c r="G98" s="247">
        <f>E98*$G$10</f>
        <v>18504.361999999997</v>
      </c>
      <c r="H98" s="247">
        <f>E98/100*0.5</f>
        <v>449.135</v>
      </c>
      <c r="I98" s="247">
        <f>F98+G98+H98</f>
        <v>30158.406999999996</v>
      </c>
      <c r="J98" s="246">
        <f>E98+I98</f>
        <v>119985.40699999999</v>
      </c>
      <c r="K98" s="181">
        <f>J98/$K$10</f>
        <v>9998.7839166666654</v>
      </c>
      <c r="L98" s="181">
        <f>J98/$L$10</f>
        <v>545.38821363636362</v>
      </c>
      <c r="M98" s="181">
        <f>J98/$M$10</f>
        <v>2726.9410681818181</v>
      </c>
      <c r="N98" s="181">
        <f>J98/$N$10</f>
        <v>72.718428484848474</v>
      </c>
      <c r="P98" s="181">
        <f>0.1*C98</f>
        <v>8766.5</v>
      </c>
      <c r="Q98" s="181">
        <f>0.1*J98</f>
        <v>11998.5407</v>
      </c>
      <c r="R98" s="229"/>
    </row>
    <row r="99" spans="1:18">
      <c r="A99" s="257" t="s">
        <v>273</v>
      </c>
      <c r="B99" s="258" t="s">
        <v>259</v>
      </c>
      <c r="C99" s="259">
        <v>93459</v>
      </c>
      <c r="D99" s="246">
        <v>2162</v>
      </c>
      <c r="E99" s="246">
        <f>C99+D99</f>
        <v>95621</v>
      </c>
      <c r="F99" s="181">
        <f>IF(E99&gt;$L$5,$N$5*(E99-$L$5)+$N$4*($L$5-$L$4)+$N$3*($L$4-$L$1),IF($L$5&gt;E99&gt;$L$4,$N$4*(E99-$L$4)+$N$3*($L$4-$L$1),0))</f>
        <v>12004.482</v>
      </c>
      <c r="G99" s="247">
        <f>E99*$G$10</f>
        <v>19697.926</v>
      </c>
      <c r="H99" s="247">
        <f>E99/100*0.5</f>
        <v>478.105</v>
      </c>
      <c r="I99" s="247">
        <f>F99+G99+H99</f>
        <v>32180.513</v>
      </c>
      <c r="J99" s="246">
        <f>E99+I99</f>
        <v>127801.513</v>
      </c>
      <c r="K99" s="181">
        <f>J99/$K$10</f>
        <v>10650.126083333334</v>
      </c>
      <c r="L99" s="181">
        <f>J99/$L$10</f>
        <v>580.91596818181824</v>
      </c>
      <c r="M99" s="181">
        <f>J99/$M$10</f>
        <v>2904.5798409090912</v>
      </c>
      <c r="N99" s="181">
        <f>J99/$N$10</f>
        <v>77.455462424242427</v>
      </c>
      <c r="P99" s="181">
        <f>0.1*C99</f>
        <v>9345.9</v>
      </c>
      <c r="Q99" s="181">
        <f>0.1*J99</f>
        <v>12780.151300000001</v>
      </c>
      <c r="R99" s="229"/>
    </row>
    <row r="100" spans="1:18">
      <c r="A100" s="257" t="s">
        <v>273</v>
      </c>
      <c r="B100" s="258" t="s">
        <v>260</v>
      </c>
      <c r="C100" s="259">
        <v>93459</v>
      </c>
      <c r="D100" s="246">
        <v>2162</v>
      </c>
      <c r="E100" s="246">
        <f>C100+D100</f>
        <v>95621</v>
      </c>
      <c r="F100" s="181">
        <f>IF(E100&gt;$L$5,$N$5*(E100-$L$5)+$N$4*($L$5-$L$4)+$N$3*($L$4-$L$1),IF($L$5&gt;E100&gt;$L$4,$N$4*(E100-$L$4)+$N$3*($L$4-$L$1),0))</f>
        <v>12004.482</v>
      </c>
      <c r="G100" s="247">
        <f>E100*$G$10</f>
        <v>19697.926</v>
      </c>
      <c r="H100" s="247">
        <f>E100/100*0.5</f>
        <v>478.105</v>
      </c>
      <c r="I100" s="247">
        <f>F100+G100+H100</f>
        <v>32180.513</v>
      </c>
      <c r="J100" s="246">
        <f>E100+I100</f>
        <v>127801.513</v>
      </c>
      <c r="K100" s="181">
        <f>J100/$K$10</f>
        <v>10650.126083333334</v>
      </c>
      <c r="L100" s="181">
        <f>J100/$L$10</f>
        <v>580.91596818181824</v>
      </c>
      <c r="M100" s="181">
        <f>J100/$M$10</f>
        <v>2904.5798409090912</v>
      </c>
      <c r="N100" s="181">
        <f>J100/$N$10</f>
        <v>77.455462424242427</v>
      </c>
      <c r="P100" s="181">
        <f>0.1*C100</f>
        <v>9345.9</v>
      </c>
      <c r="Q100" s="181">
        <f>0.1*J100</f>
        <v>12780.151300000001</v>
      </c>
      <c r="R100" s="229"/>
    </row>
    <row r="101" spans="1:18">
      <c r="A101" s="257" t="s">
        <v>273</v>
      </c>
      <c r="B101" s="258" t="s">
        <v>261</v>
      </c>
      <c r="C101" s="259">
        <v>93459</v>
      </c>
      <c r="D101" s="246">
        <v>2162</v>
      </c>
      <c r="E101" s="246">
        <f>C101+D101</f>
        <v>95621</v>
      </c>
      <c r="F101" s="181">
        <f>IF(E101&gt;$L$5,$N$5*(E101-$L$5)+$N$4*($L$5-$L$4)+$N$3*($L$4-$L$1),IF($L$5&gt;E101&gt;$L$4,$N$4*(E101-$L$4)+$N$3*($L$4-$L$1),0))</f>
        <v>12004.482</v>
      </c>
      <c r="G101" s="247">
        <f>E101*$G$10</f>
        <v>19697.926</v>
      </c>
      <c r="H101" s="247">
        <f>E101/100*0.5</f>
        <v>478.105</v>
      </c>
      <c r="I101" s="247">
        <f>F101+G101+H101</f>
        <v>32180.513</v>
      </c>
      <c r="J101" s="246">
        <f>E101+I101</f>
        <v>127801.513</v>
      </c>
      <c r="K101" s="181">
        <f>J101/$K$10</f>
        <v>10650.126083333334</v>
      </c>
      <c r="L101" s="181">
        <f>J101/$L$10</f>
        <v>580.91596818181824</v>
      </c>
      <c r="M101" s="181">
        <f>J101/$M$10</f>
        <v>2904.5798409090912</v>
      </c>
      <c r="N101" s="181">
        <f>J101/$N$10</f>
        <v>77.455462424242427</v>
      </c>
      <c r="P101" s="181">
        <f>0.1*C101</f>
        <v>9345.9</v>
      </c>
      <c r="Q101" s="181">
        <f>0.1*J101</f>
        <v>12780.151300000001</v>
      </c>
      <c r="R101" s="229"/>
    </row>
    <row r="102" spans="1:18">
      <c r="A102" s="257" t="s">
        <v>273</v>
      </c>
      <c r="B102" s="258" t="s">
        <v>262</v>
      </c>
      <c r="C102" s="259">
        <v>93459</v>
      </c>
      <c r="D102" s="246">
        <v>2162</v>
      </c>
      <c r="E102" s="246">
        <f>C102+D102</f>
        <v>95621</v>
      </c>
      <c r="F102" s="181">
        <f>IF(E102&gt;$L$5,$N$5*(E102-$L$5)+$N$4*($L$5-$L$4)+$N$3*($L$4-$L$1),IF($L$5&gt;E102&gt;$L$4,$N$4*(E102-$L$4)+$N$3*($L$4-$L$1),0))</f>
        <v>12004.482</v>
      </c>
      <c r="G102" s="247">
        <f>E102*$G$10</f>
        <v>19697.926</v>
      </c>
      <c r="H102" s="247">
        <f>E102/100*0.5</f>
        <v>478.105</v>
      </c>
      <c r="I102" s="247">
        <f>F102+G102+H102</f>
        <v>32180.513</v>
      </c>
      <c r="J102" s="246">
        <f>E102+I102</f>
        <v>127801.513</v>
      </c>
      <c r="K102" s="181">
        <f>J102/$K$10</f>
        <v>10650.126083333334</v>
      </c>
      <c r="L102" s="181">
        <f>J102/$L$10</f>
        <v>580.91596818181824</v>
      </c>
      <c r="M102" s="181">
        <f>J102/$M$10</f>
        <v>2904.5798409090912</v>
      </c>
      <c r="N102" s="181">
        <f>J102/$N$10</f>
        <v>77.455462424242427</v>
      </c>
      <c r="P102" s="181">
        <f>0.1*C102</f>
        <v>9345.9</v>
      </c>
      <c r="Q102" s="181">
        <f>0.1*J102</f>
        <v>12780.151300000001</v>
      </c>
      <c r="R102" s="229"/>
    </row>
    <row r="103" spans="1:18">
      <c r="A103" s="257" t="s">
        <v>273</v>
      </c>
      <c r="B103" s="258" t="s">
        <v>263</v>
      </c>
      <c r="C103" s="259">
        <v>93459</v>
      </c>
      <c r="D103" s="246">
        <v>2162</v>
      </c>
      <c r="E103" s="246">
        <f>C103+D103</f>
        <v>95621</v>
      </c>
      <c r="F103" s="181">
        <f>IF(E103&gt;$L$5,$N$5*(E103-$L$5)+$N$4*($L$5-$L$4)+$N$3*($L$4-$L$1),IF($L$5&gt;E103&gt;$L$4,$N$4*(E103-$L$4)+$N$3*($L$4-$L$1),0))</f>
        <v>12004.482</v>
      </c>
      <c r="G103" s="247">
        <f>E103*$G$10</f>
        <v>19697.926</v>
      </c>
      <c r="H103" s="247">
        <f>E103/100*0.5</f>
        <v>478.105</v>
      </c>
      <c r="I103" s="247">
        <f>F103+G103+H103</f>
        <v>32180.513</v>
      </c>
      <c r="J103" s="246">
        <f>E103+I103</f>
        <v>127801.513</v>
      </c>
      <c r="K103" s="181">
        <f>J103/$K$10</f>
        <v>10650.126083333334</v>
      </c>
      <c r="L103" s="181">
        <f>J103/$L$10</f>
        <v>580.91596818181824</v>
      </c>
      <c r="M103" s="181">
        <f>J103/$M$10</f>
        <v>2904.5798409090912</v>
      </c>
      <c r="N103" s="181">
        <f>J103/$N$10</f>
        <v>77.455462424242427</v>
      </c>
      <c r="P103" s="181">
        <f>0.1*C103</f>
        <v>9345.9</v>
      </c>
      <c r="Q103" s="181">
        <f>0.1*J103</f>
        <v>12780.151300000001</v>
      </c>
      <c r="R103" s="229"/>
    </row>
    <row r="104" spans="1:18">
      <c r="A104" s="257" t="s">
        <v>273</v>
      </c>
      <c r="B104" s="258" t="s">
        <v>264</v>
      </c>
      <c r="C104" s="259">
        <v>99254</v>
      </c>
      <c r="D104" s="246">
        <v>2162</v>
      </c>
      <c r="E104" s="246">
        <f>C104+D104</f>
        <v>101416</v>
      </c>
      <c r="F104" s="181">
        <f>IF(E104&gt;$L$5,$N$5*(E104-$L$5)+$N$4*($L$5-$L$4)+$N$3*($L$4-$L$1),IF($L$5&gt;E104&gt;$L$4,$N$4*(E104-$L$4)+$N$3*($L$4-$L$1),0))</f>
        <v>12804.192000000001</v>
      </c>
      <c r="G104" s="247">
        <f>E104*$G$10</f>
        <v>20891.696</v>
      </c>
      <c r="H104" s="247">
        <f>E104/100*0.5</f>
        <v>507.08</v>
      </c>
      <c r="I104" s="247">
        <f>F104+G104+H104</f>
        <v>34202.968</v>
      </c>
      <c r="J104" s="246">
        <f>E104+I104</f>
        <v>135618.968</v>
      </c>
      <c r="K104" s="181">
        <f>J104/$K$10</f>
        <v>11301.580666666667</v>
      </c>
      <c r="L104" s="181">
        <f>J104/$L$10</f>
        <v>616.44985454545451</v>
      </c>
      <c r="M104" s="181">
        <f>J104/$M$10</f>
        <v>3082.2492727272725</v>
      </c>
      <c r="N104" s="181">
        <f>J104/$N$10</f>
        <v>82.193313939393931</v>
      </c>
      <c r="P104" s="181">
        <f>0.1*C104</f>
        <v>9925.4000000000015</v>
      </c>
      <c r="Q104" s="181">
        <f>0.1*J104</f>
        <v>13561.8968</v>
      </c>
      <c r="R104" s="229"/>
    </row>
    <row r="105" spans="1:18">
      <c r="A105" s="257" t="s">
        <v>273</v>
      </c>
      <c r="B105" s="258" t="s">
        <v>265</v>
      </c>
      <c r="C105" s="259">
        <v>99254</v>
      </c>
      <c r="D105" s="246">
        <v>2162</v>
      </c>
      <c r="E105" s="246">
        <f>C105+D105</f>
        <v>101416</v>
      </c>
      <c r="F105" s="181">
        <f>IF(E105&gt;$L$5,$N$5*(E105-$L$5)+$N$4*($L$5-$L$4)+$N$3*($L$4-$L$1),IF($L$5&gt;E105&gt;$L$4,$N$4*(E105-$L$4)+$N$3*($L$4-$L$1),0))</f>
        <v>12804.192000000001</v>
      </c>
      <c r="G105" s="247">
        <f>E105*$G$10</f>
        <v>20891.696</v>
      </c>
      <c r="H105" s="247">
        <f>E105/100*0.5</f>
        <v>507.08</v>
      </c>
      <c r="I105" s="247">
        <f>F105+G105+H105</f>
        <v>34202.968</v>
      </c>
      <c r="J105" s="246">
        <f>E105+I105</f>
        <v>135618.968</v>
      </c>
      <c r="K105" s="181">
        <f>J105/$K$10</f>
        <v>11301.580666666667</v>
      </c>
      <c r="L105" s="181">
        <f>J105/$L$10</f>
        <v>616.44985454545451</v>
      </c>
      <c r="M105" s="181">
        <f>J105/$M$10</f>
        <v>3082.2492727272725</v>
      </c>
      <c r="N105" s="181">
        <f>J105/$N$10</f>
        <v>82.193313939393931</v>
      </c>
      <c r="P105" s="181">
        <f>0.1*C105</f>
        <v>9925.4000000000015</v>
      </c>
      <c r="Q105" s="181">
        <f>0.1*J105</f>
        <v>13561.8968</v>
      </c>
      <c r="R105" s="229"/>
    </row>
    <row r="106" spans="1:18">
      <c r="A106" s="257" t="s">
        <v>273</v>
      </c>
      <c r="B106" s="258" t="s">
        <v>266</v>
      </c>
      <c r="C106" s="259">
        <v>99254</v>
      </c>
      <c r="D106" s="246">
        <v>2162</v>
      </c>
      <c r="E106" s="246">
        <f>C106+D106</f>
        <v>101416</v>
      </c>
      <c r="F106" s="181">
        <f>IF(E106&gt;$L$5,$N$5*(E106-$L$5)+$N$4*($L$5-$L$4)+$N$3*($L$4-$L$1),IF($L$5&gt;E106&gt;$L$4,$N$4*(E106-$L$4)+$N$3*($L$4-$L$1),0))</f>
        <v>12804.192000000001</v>
      </c>
      <c r="G106" s="247">
        <f>E106*$G$10</f>
        <v>20891.696</v>
      </c>
      <c r="H106" s="247">
        <f>E106/100*0.5</f>
        <v>507.08</v>
      </c>
      <c r="I106" s="247">
        <f>F106+G106+H106</f>
        <v>34202.968</v>
      </c>
      <c r="J106" s="246">
        <f>E106+I106</f>
        <v>135618.968</v>
      </c>
      <c r="K106" s="181">
        <f>J106/$K$10</f>
        <v>11301.580666666667</v>
      </c>
      <c r="L106" s="181">
        <f>J106/$L$10</f>
        <v>616.44985454545451</v>
      </c>
      <c r="M106" s="181">
        <f>J106/$M$10</f>
        <v>3082.2492727272725</v>
      </c>
      <c r="N106" s="181">
        <f>J106/$N$10</f>
        <v>82.193313939393931</v>
      </c>
      <c r="P106" s="181">
        <f>0.1*C106</f>
        <v>9925.4000000000015</v>
      </c>
      <c r="Q106" s="181">
        <f>0.1*J106</f>
        <v>13561.8968</v>
      </c>
      <c r="R106" s="229"/>
    </row>
    <row r="107" spans="1:18">
      <c r="A107" s="257" t="s">
        <v>273</v>
      </c>
      <c r="B107" s="258" t="s">
        <v>267</v>
      </c>
      <c r="C107" s="259">
        <v>99254</v>
      </c>
      <c r="D107" s="246">
        <v>2162</v>
      </c>
      <c r="E107" s="246">
        <f>C107+D107</f>
        <v>101416</v>
      </c>
      <c r="F107" s="181">
        <f>IF(E107&gt;$L$5,$N$5*(E107-$L$5)+$N$4*($L$5-$L$4)+$N$3*($L$4-$L$1),IF($L$5&gt;E107&gt;$L$4,$N$4*(E107-$L$4)+$N$3*($L$4-$L$1),0))</f>
        <v>12804.192000000001</v>
      </c>
      <c r="G107" s="247">
        <f>E107*$G$10</f>
        <v>20891.696</v>
      </c>
      <c r="H107" s="247">
        <f>E107/100*0.5</f>
        <v>507.08</v>
      </c>
      <c r="I107" s="247">
        <f>F107+G107+H107</f>
        <v>34202.968</v>
      </c>
      <c r="J107" s="246">
        <f>E107+I107</f>
        <v>135618.968</v>
      </c>
      <c r="K107" s="181">
        <f>J107/$K$10</f>
        <v>11301.580666666667</v>
      </c>
      <c r="L107" s="181">
        <f>J107/$L$10</f>
        <v>616.44985454545451</v>
      </c>
      <c r="M107" s="181">
        <f>J107/$M$10</f>
        <v>3082.2492727272725</v>
      </c>
      <c r="N107" s="181">
        <f>J107/$N$10</f>
        <v>82.193313939393931</v>
      </c>
      <c r="P107" s="181">
        <f>0.1*C107</f>
        <v>9925.4000000000015</v>
      </c>
      <c r="Q107" s="181">
        <f>0.1*J107</f>
        <v>13561.8968</v>
      </c>
      <c r="R107" s="229"/>
    </row>
    <row r="108" spans="1:18">
      <c r="A108" s="257" t="s">
        <v>273</v>
      </c>
      <c r="B108" s="258" t="s">
        <v>268</v>
      </c>
      <c r="C108" s="259">
        <v>99254</v>
      </c>
      <c r="D108" s="246">
        <v>2162</v>
      </c>
      <c r="E108" s="246">
        <f>C108+D108</f>
        <v>101416</v>
      </c>
      <c r="F108" s="181">
        <f>IF(E108&gt;$L$5,$N$5*(E108-$L$5)+$N$4*($L$5-$L$4)+$N$3*($L$4-$L$1),IF($L$5&gt;E108&gt;$L$4,$N$4*(E108-$L$4)+$N$3*($L$4-$L$1),0))</f>
        <v>12804.192000000001</v>
      </c>
      <c r="G108" s="247">
        <f>E108*$G$10</f>
        <v>20891.696</v>
      </c>
      <c r="H108" s="247">
        <f>E108/100*0.5</f>
        <v>507.08</v>
      </c>
      <c r="I108" s="247">
        <f>F108+G108+H108</f>
        <v>34202.968</v>
      </c>
      <c r="J108" s="246">
        <f>E108+I108</f>
        <v>135618.968</v>
      </c>
      <c r="K108" s="181">
        <f>J108/$K$10</f>
        <v>11301.580666666667</v>
      </c>
      <c r="L108" s="181">
        <f>J108/$L$10</f>
        <v>616.44985454545451</v>
      </c>
      <c r="M108" s="181">
        <f>J108/$M$10</f>
        <v>3082.2492727272725</v>
      </c>
      <c r="N108" s="181">
        <f>J108/$N$10</f>
        <v>82.193313939393931</v>
      </c>
      <c r="P108" s="181">
        <f>0.1*C108</f>
        <v>9925.4000000000015</v>
      </c>
      <c r="Q108" s="181">
        <f>0.1*J108</f>
        <v>13561.8968</v>
      </c>
      <c r="R108" s="229"/>
    </row>
    <row r="109" spans="1:18">
      <c r="A109" s="257" t="s">
        <v>273</v>
      </c>
      <c r="B109" s="258" t="s">
        <v>269</v>
      </c>
      <c r="C109" s="259">
        <v>105042</v>
      </c>
      <c r="D109" s="246">
        <v>2162</v>
      </c>
      <c r="E109" s="246">
        <f>C109+D109</f>
        <v>107204</v>
      </c>
      <c r="F109" s="181">
        <f>IF(E109&gt;$L$5,$N$5*(E109-$L$5)+$N$4*($L$5-$L$4)+$N$3*($L$4-$L$1),IF($L$5&gt;E109&gt;$L$4,$N$4*(E109-$L$4)+$N$3*($L$4-$L$1),0))</f>
        <v>13602.936000000002</v>
      </c>
      <c r="G109" s="247">
        <f>E109*$G$10</f>
        <v>22084.023999999998</v>
      </c>
      <c r="H109" s="247">
        <f>E109/100*0.5</f>
        <v>536.02</v>
      </c>
      <c r="I109" s="247">
        <f>F109+G109+H109</f>
        <v>36222.979999999996</v>
      </c>
      <c r="J109" s="246">
        <f>E109+I109</f>
        <v>143426.97999999998</v>
      </c>
      <c r="K109" s="181">
        <f>J109/$K$10</f>
        <v>11952.248333333331</v>
      </c>
      <c r="L109" s="181">
        <f>J109/$L$10</f>
        <v>651.94081818181814</v>
      </c>
      <c r="M109" s="181">
        <f>J109/$M$10</f>
        <v>3259.7040909090906</v>
      </c>
      <c r="N109" s="181">
        <f>J109/$N$10</f>
        <v>86.925442424242419</v>
      </c>
      <c r="P109" s="181">
        <f>0.1*C109</f>
        <v>10504.2</v>
      </c>
      <c r="Q109" s="181">
        <f>0.1*J109</f>
        <v>14342.697999999999</v>
      </c>
      <c r="R109" s="229"/>
    </row>
    <row r="110" spans="1:18">
      <c r="A110" s="257"/>
      <c r="B110" s="258"/>
      <c r="C110" s="259"/>
      <c r="D110" s="246"/>
      <c r="E110" s="246"/>
      <c r="F110" s="181"/>
      <c r="G110" s="247"/>
      <c r="H110" s="247"/>
      <c r="I110" s="247"/>
      <c r="J110" s="246"/>
      <c r="K110" s="181"/>
      <c r="L110" s="181"/>
      <c r="M110" s="181"/>
      <c r="N110" s="181"/>
      <c r="P110" s="181"/>
      <c r="Q110" s="181"/>
      <c r="R110" s="229"/>
    </row>
    <row r="111" spans="1:18">
      <c r="A111" s="257"/>
      <c r="B111" s="258"/>
      <c r="C111" s="259"/>
      <c r="D111" s="246"/>
      <c r="E111" s="246"/>
      <c r="F111" s="181"/>
      <c r="G111" s="247"/>
      <c r="H111" s="247"/>
      <c r="I111" s="247"/>
      <c r="J111" s="246"/>
      <c r="K111" s="181"/>
      <c r="L111" s="181"/>
      <c r="M111" s="181"/>
      <c r="N111" s="181"/>
      <c r="P111" s="181"/>
      <c r="Q111" s="181"/>
      <c r="R111" s="229"/>
    </row>
    <row r="112" spans="1:18">
      <c r="A112" s="257" t="s">
        <v>274</v>
      </c>
      <c r="B112" s="258" t="s">
        <v>213</v>
      </c>
      <c r="C112" s="259">
        <v>86448</v>
      </c>
      <c r="D112" s="246">
        <v>2162</v>
      </c>
      <c r="E112" s="246">
        <f>C112+D112</f>
        <v>88610</v>
      </c>
      <c r="F112" s="181">
        <f>IF(E112&gt;$L$5,$N$5*(E112-$L$5)+$N$4*($L$5-$L$4)+$N$3*($L$4-$L$1),IF($L$5&gt;E112&gt;$L$4,$N$4*(E112-$L$4)+$N$3*($L$4-$L$1),0))</f>
        <v>11036.964</v>
      </c>
      <c r="G112" s="247">
        <f>E112*$G$10</f>
        <v>18253.66</v>
      </c>
      <c r="H112" s="247">
        <f>E112/100*0.5</f>
        <v>443.05</v>
      </c>
      <c r="I112" s="247">
        <f>F112+G112+H112</f>
        <v>29733.674</v>
      </c>
      <c r="J112" s="246">
        <f>E112+I112</f>
        <v>118343.674</v>
      </c>
      <c r="K112" s="181">
        <f>J112/$K$10</f>
        <v>9861.9728333333333</v>
      </c>
      <c r="L112" s="181">
        <f>J112/$L$10</f>
        <v>537.92579090909089</v>
      </c>
      <c r="M112" s="181">
        <f>J112/$M$10</f>
        <v>2689.6289545454547</v>
      </c>
      <c r="N112" s="181">
        <f>J112/$N$10</f>
        <v>71.723438787878791</v>
      </c>
      <c r="P112" s="181">
        <f>0.1*C112</f>
        <v>8644.8000000000011</v>
      </c>
      <c r="Q112" s="181">
        <f>0.1*J112</f>
        <v>11834.367400000001</v>
      </c>
      <c r="R112" s="229"/>
    </row>
    <row r="113" spans="1:18">
      <c r="A113" s="257" t="s">
        <v>274</v>
      </c>
      <c r="B113" s="258" t="s">
        <v>214</v>
      </c>
      <c r="C113" s="259">
        <v>87665</v>
      </c>
      <c r="D113" s="246">
        <v>2162</v>
      </c>
      <c r="E113" s="246">
        <f>C113+D113</f>
        <v>89827</v>
      </c>
      <c r="F113" s="181">
        <f>IF(E113&gt;$L$5,$N$5*(E113-$L$5)+$N$4*($L$5-$L$4)+$N$3*($L$4-$L$1),IF($L$5&gt;E113&gt;$L$4,$N$4*(E113-$L$4)+$N$3*($L$4-$L$1),0))</f>
        <v>11204.91</v>
      </c>
      <c r="G113" s="247">
        <f>E113*$G$10</f>
        <v>18504.361999999997</v>
      </c>
      <c r="H113" s="247">
        <f>E113/100*0.5</f>
        <v>449.135</v>
      </c>
      <c r="I113" s="247">
        <f>F113+G113+H113</f>
        <v>30158.406999999996</v>
      </c>
      <c r="J113" s="246">
        <f>E113+I113</f>
        <v>119985.40699999999</v>
      </c>
      <c r="K113" s="181">
        <f>J113/$K$10</f>
        <v>9998.7839166666654</v>
      </c>
      <c r="L113" s="181">
        <f>J113/$L$10</f>
        <v>545.38821363636362</v>
      </c>
      <c r="M113" s="181">
        <f>J113/$M$10</f>
        <v>2726.9410681818181</v>
      </c>
      <c r="N113" s="181">
        <f>J113/$N$10</f>
        <v>72.718428484848474</v>
      </c>
      <c r="P113" s="181">
        <f>0.1*C113</f>
        <v>8766.5</v>
      </c>
      <c r="Q113" s="181">
        <f>0.1*J113</f>
        <v>11998.5407</v>
      </c>
      <c r="R113" s="229"/>
    </row>
    <row r="114" spans="1:18">
      <c r="A114" s="257" t="s">
        <v>274</v>
      </c>
      <c r="B114" s="258" t="s">
        <v>220</v>
      </c>
      <c r="C114" s="259">
        <v>87665</v>
      </c>
      <c r="D114" s="246">
        <v>2162</v>
      </c>
      <c r="E114" s="246">
        <f>C114+D114</f>
        <v>89827</v>
      </c>
      <c r="F114" s="181">
        <f>IF(E114&gt;$L$5,$N$5*(E114-$L$5)+$N$4*($L$5-$L$4)+$N$3*($L$4-$L$1),IF($L$5&gt;E114&gt;$L$4,$N$4*(E114-$L$4)+$N$3*($L$4-$L$1),0))</f>
        <v>11204.91</v>
      </c>
      <c r="G114" s="247">
        <f>E114*$G$10</f>
        <v>18504.361999999997</v>
      </c>
      <c r="H114" s="247">
        <f>E114/100*0.5</f>
        <v>449.135</v>
      </c>
      <c r="I114" s="247">
        <f>F114+G114+H114</f>
        <v>30158.406999999996</v>
      </c>
      <c r="J114" s="246">
        <f>E114+I114</f>
        <v>119985.40699999999</v>
      </c>
      <c r="K114" s="181">
        <f>J114/$K$10</f>
        <v>9998.7839166666654</v>
      </c>
      <c r="L114" s="181">
        <f>J114/$L$10</f>
        <v>545.38821363636362</v>
      </c>
      <c r="M114" s="181">
        <f>J114/$M$10</f>
        <v>2726.9410681818181</v>
      </c>
      <c r="N114" s="181">
        <f>J114/$N$10</f>
        <v>72.718428484848474</v>
      </c>
      <c r="P114" s="181">
        <f>0.1*C114</f>
        <v>8766.5</v>
      </c>
      <c r="Q114" s="181">
        <f>0.1*J114</f>
        <v>11998.5407</v>
      </c>
      <c r="R114" s="229"/>
    </row>
    <row r="115" spans="1:18">
      <c r="A115" s="257" t="s">
        <v>274</v>
      </c>
      <c r="B115" s="258" t="s">
        <v>221</v>
      </c>
      <c r="C115" s="259">
        <v>87665</v>
      </c>
      <c r="D115" s="246">
        <v>2162</v>
      </c>
      <c r="E115" s="246">
        <f>C115+D115</f>
        <v>89827</v>
      </c>
      <c r="F115" s="181">
        <f>IF(E115&gt;$L$5,$N$5*(E115-$L$5)+$N$4*($L$5-$L$4)+$N$3*($L$4-$L$1),IF($L$5&gt;E115&gt;$L$4,$N$4*(E115-$L$4)+$N$3*($L$4-$L$1),0))</f>
        <v>11204.91</v>
      </c>
      <c r="G115" s="247">
        <f>E115*$G$10</f>
        <v>18504.361999999997</v>
      </c>
      <c r="H115" s="247">
        <f>E115/100*0.5</f>
        <v>449.135</v>
      </c>
      <c r="I115" s="247">
        <f>F115+G115+H115</f>
        <v>30158.406999999996</v>
      </c>
      <c r="J115" s="246">
        <f>E115+I115</f>
        <v>119985.40699999999</v>
      </c>
      <c r="K115" s="181">
        <f>J115/$K$10</f>
        <v>9998.7839166666654</v>
      </c>
      <c r="L115" s="181">
        <f>J115/$L$10</f>
        <v>545.38821363636362</v>
      </c>
      <c r="M115" s="181">
        <f>J115/$M$10</f>
        <v>2726.9410681818181</v>
      </c>
      <c r="N115" s="181">
        <f>J115/$N$10</f>
        <v>72.718428484848474</v>
      </c>
      <c r="P115" s="181">
        <f>0.1*C115</f>
        <v>8766.5</v>
      </c>
      <c r="Q115" s="181">
        <f>0.1*J115</f>
        <v>11998.5407</v>
      </c>
      <c r="R115" s="229"/>
    </row>
    <row r="116" spans="1:18">
      <c r="A116" s="257" t="s">
        <v>274</v>
      </c>
      <c r="B116" s="258" t="s">
        <v>257</v>
      </c>
      <c r="C116" s="259">
        <v>87665</v>
      </c>
      <c r="D116" s="246">
        <v>2162</v>
      </c>
      <c r="E116" s="246">
        <f>C116+D116</f>
        <v>89827</v>
      </c>
      <c r="F116" s="181">
        <f>IF(E116&gt;$L$5,$N$5*(E116-$L$5)+$N$4*($L$5-$L$4)+$N$3*($L$4-$L$1),IF($L$5&gt;E116&gt;$L$4,$N$4*(E116-$L$4)+$N$3*($L$4-$L$1),0))</f>
        <v>11204.91</v>
      </c>
      <c r="G116" s="247">
        <f>E116*$G$10</f>
        <v>18504.361999999997</v>
      </c>
      <c r="H116" s="247">
        <f>E116/100*0.5</f>
        <v>449.135</v>
      </c>
      <c r="I116" s="247">
        <f>F116+G116+H116</f>
        <v>30158.406999999996</v>
      </c>
      <c r="J116" s="246">
        <f>E116+I116</f>
        <v>119985.40699999999</v>
      </c>
      <c r="K116" s="181">
        <f>J116/$K$10</f>
        <v>9998.7839166666654</v>
      </c>
      <c r="L116" s="181">
        <f>J116/$L$10</f>
        <v>545.38821363636362</v>
      </c>
      <c r="M116" s="181">
        <f>J116/$M$10</f>
        <v>2726.9410681818181</v>
      </c>
      <c r="N116" s="181">
        <f>J116/$N$10</f>
        <v>72.718428484848474</v>
      </c>
      <c r="P116" s="181">
        <f>0.1*C116</f>
        <v>8766.5</v>
      </c>
      <c r="Q116" s="181">
        <f>0.1*J116</f>
        <v>11998.5407</v>
      </c>
      <c r="R116" s="229"/>
    </row>
    <row r="117" spans="1:18">
      <c r="A117" s="257" t="s">
        <v>274</v>
      </c>
      <c r="B117" s="258" t="s">
        <v>259</v>
      </c>
      <c r="C117" s="259">
        <v>93459</v>
      </c>
      <c r="D117" s="246">
        <v>2162</v>
      </c>
      <c r="E117" s="246">
        <f>C117+D117</f>
        <v>95621</v>
      </c>
      <c r="F117" s="181">
        <f>IF(E117&gt;$L$5,$N$5*(E117-$L$5)+$N$4*($L$5-$L$4)+$N$3*($L$4-$L$1),IF($L$5&gt;E117&gt;$L$4,$N$4*(E117-$L$4)+$N$3*($L$4-$L$1),0))</f>
        <v>12004.482</v>
      </c>
      <c r="G117" s="247">
        <f>E117*$G$10</f>
        <v>19697.926</v>
      </c>
      <c r="H117" s="247">
        <f>E117/100*0.5</f>
        <v>478.105</v>
      </c>
      <c r="I117" s="247">
        <f>F117+G117+H117</f>
        <v>32180.513</v>
      </c>
      <c r="J117" s="246">
        <f>E117+I117</f>
        <v>127801.513</v>
      </c>
      <c r="K117" s="181">
        <f>J117/$K$10</f>
        <v>10650.126083333334</v>
      </c>
      <c r="L117" s="181">
        <f>J117/$L$10</f>
        <v>580.91596818181824</v>
      </c>
      <c r="M117" s="181">
        <f>J117/$M$10</f>
        <v>2904.5798409090912</v>
      </c>
      <c r="N117" s="181">
        <f>J117/$N$10</f>
        <v>77.455462424242427</v>
      </c>
      <c r="P117" s="181">
        <f>0.1*C117</f>
        <v>9345.9</v>
      </c>
      <c r="Q117" s="181">
        <f>0.1*J117</f>
        <v>12780.151300000001</v>
      </c>
      <c r="R117" s="229"/>
    </row>
    <row r="118" spans="1:18">
      <c r="A118" s="257" t="s">
        <v>274</v>
      </c>
      <c r="B118" s="258" t="s">
        <v>260</v>
      </c>
      <c r="C118" s="259">
        <v>93459</v>
      </c>
      <c r="D118" s="246">
        <v>2162</v>
      </c>
      <c r="E118" s="246">
        <f>C118+D118</f>
        <v>95621</v>
      </c>
      <c r="F118" s="181">
        <f>IF(E118&gt;$L$5,$N$5*(E118-$L$5)+$N$4*($L$5-$L$4)+$N$3*($L$4-$L$1),IF($L$5&gt;E118&gt;$L$4,$N$4*(E118-$L$4)+$N$3*($L$4-$L$1),0))</f>
        <v>12004.482</v>
      </c>
      <c r="G118" s="247">
        <f>E118*$G$10</f>
        <v>19697.926</v>
      </c>
      <c r="H118" s="247">
        <f>E118/100*0.5</f>
        <v>478.105</v>
      </c>
      <c r="I118" s="247">
        <f>F118+G118+H118</f>
        <v>32180.513</v>
      </c>
      <c r="J118" s="246">
        <f>E118+I118</f>
        <v>127801.513</v>
      </c>
      <c r="K118" s="181">
        <f>J118/$K$10</f>
        <v>10650.126083333334</v>
      </c>
      <c r="L118" s="181">
        <f>J118/$L$10</f>
        <v>580.91596818181824</v>
      </c>
      <c r="M118" s="181">
        <f>J118/$M$10</f>
        <v>2904.5798409090912</v>
      </c>
      <c r="N118" s="181">
        <f>J118/$N$10</f>
        <v>77.455462424242427</v>
      </c>
      <c r="P118" s="181">
        <f>0.1*C118</f>
        <v>9345.9</v>
      </c>
      <c r="Q118" s="181">
        <f>0.1*J118</f>
        <v>12780.151300000001</v>
      </c>
      <c r="R118" s="229"/>
    </row>
    <row r="119" spans="1:18">
      <c r="A119" s="257" t="s">
        <v>274</v>
      </c>
      <c r="B119" s="258" t="s">
        <v>261</v>
      </c>
      <c r="C119" s="259">
        <v>93459</v>
      </c>
      <c r="D119" s="246">
        <v>2162</v>
      </c>
      <c r="E119" s="246">
        <f>C119+D119</f>
        <v>95621</v>
      </c>
      <c r="F119" s="181">
        <f>IF(E119&gt;$L$5,$N$5*(E119-$L$5)+$N$4*($L$5-$L$4)+$N$3*($L$4-$L$1),IF($L$5&gt;E119&gt;$L$4,$N$4*(E119-$L$4)+$N$3*($L$4-$L$1),0))</f>
        <v>12004.482</v>
      </c>
      <c r="G119" s="247">
        <f>E119*$G$10</f>
        <v>19697.926</v>
      </c>
      <c r="H119" s="247">
        <f>E119/100*0.5</f>
        <v>478.105</v>
      </c>
      <c r="I119" s="247">
        <f>F119+G119+H119</f>
        <v>32180.513</v>
      </c>
      <c r="J119" s="246">
        <f>E119+I119</f>
        <v>127801.513</v>
      </c>
      <c r="K119" s="181">
        <f>J119/$K$10</f>
        <v>10650.126083333334</v>
      </c>
      <c r="L119" s="181">
        <f>J119/$L$10</f>
        <v>580.91596818181824</v>
      </c>
      <c r="M119" s="181">
        <f>J119/$M$10</f>
        <v>2904.5798409090912</v>
      </c>
      <c r="N119" s="181">
        <f>J119/$N$10</f>
        <v>77.455462424242427</v>
      </c>
      <c r="P119" s="181">
        <f>0.1*C119</f>
        <v>9345.9</v>
      </c>
      <c r="Q119" s="181">
        <f>0.1*J119</f>
        <v>12780.151300000001</v>
      </c>
      <c r="R119" s="229"/>
    </row>
    <row r="120" spans="1:18">
      <c r="A120" s="257" t="s">
        <v>274</v>
      </c>
      <c r="B120" s="258" t="s">
        <v>262</v>
      </c>
      <c r="C120" s="259">
        <v>93459</v>
      </c>
      <c r="D120" s="246">
        <v>2162</v>
      </c>
      <c r="E120" s="246">
        <f>C120+D120</f>
        <v>95621</v>
      </c>
      <c r="F120" s="181">
        <f>IF(E120&gt;$L$5,$N$5*(E120-$L$5)+$N$4*($L$5-$L$4)+$N$3*($L$4-$L$1),IF($L$5&gt;E120&gt;$L$4,$N$4*(E120-$L$4)+$N$3*($L$4-$L$1),0))</f>
        <v>12004.482</v>
      </c>
      <c r="G120" s="247">
        <f>E120*$G$10</f>
        <v>19697.926</v>
      </c>
      <c r="H120" s="247">
        <f>E120/100*0.5</f>
        <v>478.105</v>
      </c>
      <c r="I120" s="247">
        <f>F120+G120+H120</f>
        <v>32180.513</v>
      </c>
      <c r="J120" s="246">
        <f>E120+I120</f>
        <v>127801.513</v>
      </c>
      <c r="K120" s="181">
        <f>J120/$K$10</f>
        <v>10650.126083333334</v>
      </c>
      <c r="L120" s="181">
        <f>J120/$L$10</f>
        <v>580.91596818181824</v>
      </c>
      <c r="M120" s="181">
        <f>J120/$M$10</f>
        <v>2904.5798409090912</v>
      </c>
      <c r="N120" s="181">
        <f>J120/$N$10</f>
        <v>77.455462424242427</v>
      </c>
      <c r="P120" s="181">
        <f>0.1*C120</f>
        <v>9345.9</v>
      </c>
      <c r="Q120" s="181">
        <f>0.1*J120</f>
        <v>12780.151300000001</v>
      </c>
      <c r="R120" s="229"/>
    </row>
    <row r="121" spans="1:18">
      <c r="A121" s="257" t="s">
        <v>274</v>
      </c>
      <c r="B121" s="258" t="s">
        <v>263</v>
      </c>
      <c r="C121" s="259">
        <v>93459</v>
      </c>
      <c r="D121" s="246">
        <v>2162</v>
      </c>
      <c r="E121" s="246">
        <f>C121+D121</f>
        <v>95621</v>
      </c>
      <c r="F121" s="181">
        <f>IF(E121&gt;$L$5,$N$5*(E121-$L$5)+$N$4*($L$5-$L$4)+$N$3*($L$4-$L$1),IF($L$5&gt;E121&gt;$L$4,$N$4*(E121-$L$4)+$N$3*($L$4-$L$1),0))</f>
        <v>12004.482</v>
      </c>
      <c r="G121" s="247">
        <f>E121*$G$10</f>
        <v>19697.926</v>
      </c>
      <c r="H121" s="247">
        <f>E121/100*0.5</f>
        <v>478.105</v>
      </c>
      <c r="I121" s="247">
        <f>F121+G121+H121</f>
        <v>32180.513</v>
      </c>
      <c r="J121" s="246">
        <f>E121+I121</f>
        <v>127801.513</v>
      </c>
      <c r="K121" s="181">
        <f>J121/$K$10</f>
        <v>10650.126083333334</v>
      </c>
      <c r="L121" s="181">
        <f>J121/$L$10</f>
        <v>580.91596818181824</v>
      </c>
      <c r="M121" s="181">
        <f>J121/$M$10</f>
        <v>2904.5798409090912</v>
      </c>
      <c r="N121" s="181">
        <f>J121/$N$10</f>
        <v>77.455462424242427</v>
      </c>
      <c r="P121" s="181">
        <f>0.1*C121</f>
        <v>9345.9</v>
      </c>
      <c r="Q121" s="181">
        <f>0.1*J121</f>
        <v>12780.151300000001</v>
      </c>
      <c r="R121" s="229"/>
    </row>
    <row r="122" spans="1:18">
      <c r="A122" s="257" t="s">
        <v>274</v>
      </c>
      <c r="B122" s="258" t="s">
        <v>264</v>
      </c>
      <c r="C122" s="259">
        <v>99254</v>
      </c>
      <c r="D122" s="246">
        <v>2162</v>
      </c>
      <c r="E122" s="246">
        <f>C122+D122</f>
        <v>101416</v>
      </c>
      <c r="F122" s="181">
        <f>IF(E122&gt;$L$5,$N$5*(E122-$L$5)+$N$4*($L$5-$L$4)+$N$3*($L$4-$L$1),IF($L$5&gt;E122&gt;$L$4,$N$4*(E122-$L$4)+$N$3*($L$4-$L$1),0))</f>
        <v>12804.192000000001</v>
      </c>
      <c r="G122" s="247">
        <f>E122*$G$10</f>
        <v>20891.696</v>
      </c>
      <c r="H122" s="247">
        <f>E122/100*0.5</f>
        <v>507.08</v>
      </c>
      <c r="I122" s="247">
        <f>F122+G122+H122</f>
        <v>34202.968</v>
      </c>
      <c r="J122" s="246">
        <f>E122+I122</f>
        <v>135618.968</v>
      </c>
      <c r="K122" s="181">
        <f>J122/$K$10</f>
        <v>11301.580666666667</v>
      </c>
      <c r="L122" s="181">
        <f>J122/$L$10</f>
        <v>616.44985454545451</v>
      </c>
      <c r="M122" s="181">
        <f>J122/$M$10</f>
        <v>3082.2492727272725</v>
      </c>
      <c r="N122" s="181">
        <f>J122/$N$10</f>
        <v>82.193313939393931</v>
      </c>
      <c r="P122" s="181">
        <f>0.1*C122</f>
        <v>9925.4000000000015</v>
      </c>
      <c r="Q122" s="181">
        <f>0.1*J122</f>
        <v>13561.8968</v>
      </c>
      <c r="R122" s="229"/>
    </row>
    <row r="123" spans="1:18">
      <c r="A123" s="257" t="s">
        <v>274</v>
      </c>
      <c r="B123" s="258" t="s">
        <v>265</v>
      </c>
      <c r="C123" s="259">
        <v>99254</v>
      </c>
      <c r="D123" s="246">
        <v>2162</v>
      </c>
      <c r="E123" s="246">
        <f>C123+D123</f>
        <v>101416</v>
      </c>
      <c r="F123" s="181">
        <f>IF(E123&gt;$L$5,$N$5*(E123-$L$5)+$N$4*($L$5-$L$4)+$N$3*($L$4-$L$1),IF($L$5&gt;E123&gt;$L$4,$N$4*(E123-$L$4)+$N$3*($L$4-$L$1),0))</f>
        <v>12804.192000000001</v>
      </c>
      <c r="G123" s="247">
        <f>E123*$G$10</f>
        <v>20891.696</v>
      </c>
      <c r="H123" s="247">
        <f>E123/100*0.5</f>
        <v>507.08</v>
      </c>
      <c r="I123" s="247">
        <f>F123+G123+H123</f>
        <v>34202.968</v>
      </c>
      <c r="J123" s="246">
        <f>E123+I123</f>
        <v>135618.968</v>
      </c>
      <c r="K123" s="181">
        <f>J123/$K$10</f>
        <v>11301.580666666667</v>
      </c>
      <c r="L123" s="181">
        <f>J123/$L$10</f>
        <v>616.44985454545451</v>
      </c>
      <c r="M123" s="181">
        <f>J123/$M$10</f>
        <v>3082.2492727272725</v>
      </c>
      <c r="N123" s="181">
        <f>J123/$N$10</f>
        <v>82.193313939393931</v>
      </c>
      <c r="P123" s="181">
        <f>0.1*C123</f>
        <v>9925.4000000000015</v>
      </c>
      <c r="Q123" s="181">
        <f>0.1*J123</f>
        <v>13561.8968</v>
      </c>
      <c r="R123" s="229"/>
    </row>
    <row r="124" spans="1:18">
      <c r="A124" s="257" t="s">
        <v>274</v>
      </c>
      <c r="B124" s="258" t="s">
        <v>266</v>
      </c>
      <c r="C124" s="259">
        <v>99254</v>
      </c>
      <c r="D124" s="246">
        <v>2162</v>
      </c>
      <c r="E124" s="246">
        <f>C124+D124</f>
        <v>101416</v>
      </c>
      <c r="F124" s="181">
        <f>IF(E124&gt;$L$5,$N$5*(E124-$L$5)+$N$4*($L$5-$L$4)+$N$3*($L$4-$L$1),IF($L$5&gt;E124&gt;$L$4,$N$4*(E124-$L$4)+$N$3*($L$4-$L$1),0))</f>
        <v>12804.192000000001</v>
      </c>
      <c r="G124" s="247">
        <f>E124*$G$10</f>
        <v>20891.696</v>
      </c>
      <c r="H124" s="247">
        <f>E124/100*0.5</f>
        <v>507.08</v>
      </c>
      <c r="I124" s="247">
        <f>F124+G124+H124</f>
        <v>34202.968</v>
      </c>
      <c r="J124" s="246">
        <f>E124+I124</f>
        <v>135618.968</v>
      </c>
      <c r="K124" s="181">
        <f>J124/$K$10</f>
        <v>11301.580666666667</v>
      </c>
      <c r="L124" s="181">
        <f>J124/$L$10</f>
        <v>616.44985454545451</v>
      </c>
      <c r="M124" s="181">
        <f>J124/$M$10</f>
        <v>3082.2492727272725</v>
      </c>
      <c r="N124" s="181">
        <f>J124/$N$10</f>
        <v>82.193313939393931</v>
      </c>
      <c r="P124" s="181">
        <f>0.1*C124</f>
        <v>9925.4000000000015</v>
      </c>
      <c r="Q124" s="181">
        <f>0.1*J124</f>
        <v>13561.8968</v>
      </c>
      <c r="R124" s="229"/>
    </row>
    <row r="125" spans="1:18">
      <c r="A125" s="257" t="s">
        <v>274</v>
      </c>
      <c r="B125" s="258" t="s">
        <v>267</v>
      </c>
      <c r="C125" s="259">
        <v>99254</v>
      </c>
      <c r="D125" s="246">
        <v>2162</v>
      </c>
      <c r="E125" s="246">
        <f>C125+D125</f>
        <v>101416</v>
      </c>
      <c r="F125" s="181">
        <f>IF(E125&gt;$L$5,$N$5*(E125-$L$5)+$N$4*($L$5-$L$4)+$N$3*($L$4-$L$1),IF($L$5&gt;E125&gt;$L$4,$N$4*(E125-$L$4)+$N$3*($L$4-$L$1),0))</f>
        <v>12804.192000000001</v>
      </c>
      <c r="G125" s="247">
        <f>E125*$G$10</f>
        <v>20891.696</v>
      </c>
      <c r="H125" s="247">
        <f>E125/100*0.5</f>
        <v>507.08</v>
      </c>
      <c r="I125" s="247">
        <f>F125+G125+H125</f>
        <v>34202.968</v>
      </c>
      <c r="J125" s="246">
        <f>E125+I125</f>
        <v>135618.968</v>
      </c>
      <c r="K125" s="181">
        <f>J125/$K$10</f>
        <v>11301.580666666667</v>
      </c>
      <c r="L125" s="181">
        <f>J125/$L$10</f>
        <v>616.44985454545451</v>
      </c>
      <c r="M125" s="181">
        <f>J125/$M$10</f>
        <v>3082.2492727272725</v>
      </c>
      <c r="N125" s="181">
        <f>J125/$N$10</f>
        <v>82.193313939393931</v>
      </c>
      <c r="P125" s="181">
        <f>0.1*C125</f>
        <v>9925.4000000000015</v>
      </c>
      <c r="Q125" s="181">
        <f>0.1*J125</f>
        <v>13561.8968</v>
      </c>
      <c r="R125" s="229"/>
    </row>
    <row r="126" spans="1:18">
      <c r="A126" s="257" t="s">
        <v>274</v>
      </c>
      <c r="B126" s="258" t="s">
        <v>268</v>
      </c>
      <c r="C126" s="259">
        <v>99254</v>
      </c>
      <c r="D126" s="246">
        <v>2162</v>
      </c>
      <c r="E126" s="246">
        <f>C126+D126</f>
        <v>101416</v>
      </c>
      <c r="F126" s="181">
        <f>IF(E126&gt;$L$5,$N$5*(E126-$L$5)+$N$4*($L$5-$L$4)+$N$3*($L$4-$L$1),IF($L$5&gt;E126&gt;$L$4,$N$4*(E126-$L$4)+$N$3*($L$4-$L$1),0))</f>
        <v>12804.192000000001</v>
      </c>
      <c r="G126" s="247">
        <f>E126*$G$10</f>
        <v>20891.696</v>
      </c>
      <c r="H126" s="247">
        <f>E126/100*0.5</f>
        <v>507.08</v>
      </c>
      <c r="I126" s="247">
        <f>F126+G126+H126</f>
        <v>34202.968</v>
      </c>
      <c r="J126" s="246">
        <f>E126+I126</f>
        <v>135618.968</v>
      </c>
      <c r="K126" s="181">
        <f>J126/$K$10</f>
        <v>11301.580666666667</v>
      </c>
      <c r="L126" s="181">
        <f>J126/$L$10</f>
        <v>616.44985454545451</v>
      </c>
      <c r="M126" s="181">
        <f>J126/$M$10</f>
        <v>3082.2492727272725</v>
      </c>
      <c r="N126" s="181">
        <f>J126/$N$10</f>
        <v>82.193313939393931</v>
      </c>
      <c r="P126" s="181">
        <f>0.1*C126</f>
        <v>9925.4000000000015</v>
      </c>
      <c r="Q126" s="181">
        <f>0.1*J126</f>
        <v>13561.8968</v>
      </c>
      <c r="R126" s="229"/>
    </row>
    <row r="127" spans="1:18">
      <c r="A127" s="257" t="s">
        <v>274</v>
      </c>
      <c r="B127" s="258" t="s">
        <v>269</v>
      </c>
      <c r="C127" s="259">
        <v>105042</v>
      </c>
      <c r="D127" s="246">
        <v>2162</v>
      </c>
      <c r="E127" s="246">
        <f>C127+D127</f>
        <v>107204</v>
      </c>
      <c r="F127" s="181">
        <f>IF(E127&gt;$L$5,$N$5*(E127-$L$5)+$N$4*($L$5-$L$4)+$N$3*($L$4-$L$1),IF($L$5&gt;E127&gt;$L$4,$N$4*(E127-$L$4)+$N$3*($L$4-$L$1),0))</f>
        <v>13602.936000000002</v>
      </c>
      <c r="G127" s="247">
        <f>E127*$G$10</f>
        <v>22084.023999999998</v>
      </c>
      <c r="H127" s="247">
        <f>E127/100*0.5</f>
        <v>536.02</v>
      </c>
      <c r="I127" s="247">
        <f>F127+G127+H127</f>
        <v>36222.979999999996</v>
      </c>
      <c r="J127" s="246">
        <f>E127+I127</f>
        <v>143426.97999999998</v>
      </c>
      <c r="K127" s="181">
        <f>J127/$K$10</f>
        <v>11952.248333333331</v>
      </c>
      <c r="L127" s="181">
        <f>J127/$L$10</f>
        <v>651.94081818181814</v>
      </c>
      <c r="M127" s="181">
        <f>J127/$M$10</f>
        <v>3259.7040909090906</v>
      </c>
      <c r="N127" s="181">
        <f>J127/$N$10</f>
        <v>86.925442424242419</v>
      </c>
      <c r="P127" s="181">
        <f>0.1*C127</f>
        <v>10504.2</v>
      </c>
      <c r="Q127" s="181">
        <f>0.1*J127</f>
        <v>14342.697999999999</v>
      </c>
      <c r="R127" s="229"/>
    </row>
    <row r="128" spans="1:18">
      <c r="A128" s="257"/>
      <c r="B128" s="258"/>
      <c r="C128" s="259"/>
      <c r="D128" s="246"/>
      <c r="E128" s="246"/>
      <c r="F128" s="181"/>
      <c r="G128" s="247"/>
      <c r="H128" s="247"/>
      <c r="I128" s="247"/>
      <c r="J128" s="246"/>
      <c r="K128" s="181"/>
      <c r="L128" s="181"/>
      <c r="M128" s="181"/>
      <c r="N128" s="181"/>
      <c r="P128" s="181"/>
      <c r="Q128" s="181"/>
      <c r="R128" s="229"/>
    </row>
    <row r="129" spans="1:18">
      <c r="A129" s="257"/>
      <c r="B129" s="258"/>
      <c r="C129" s="259"/>
      <c r="D129" s="246"/>
      <c r="E129" s="246"/>
      <c r="F129" s="181"/>
      <c r="G129" s="247"/>
      <c r="H129" s="247"/>
      <c r="I129" s="247"/>
      <c r="J129" s="246"/>
      <c r="K129" s="181"/>
      <c r="L129" s="181"/>
      <c r="M129" s="181"/>
      <c r="N129" s="181"/>
      <c r="P129" s="181"/>
      <c r="Q129" s="181"/>
      <c r="R129" s="229"/>
    </row>
    <row r="130" spans="1:18">
      <c r="A130" s="257" t="s">
        <v>275</v>
      </c>
      <c r="B130" s="258" t="s">
        <v>214</v>
      </c>
      <c r="C130" s="259">
        <v>87665</v>
      </c>
      <c r="D130" s="246">
        <v>2162</v>
      </c>
      <c r="E130" s="246">
        <f>C130+D130</f>
        <v>89827</v>
      </c>
      <c r="F130" s="181">
        <f>IF(E130&gt;$L$5,$N$5*(E130-$L$5)+$N$4*($L$5-$L$4)+$N$3*($L$4-$L$1),IF($L$5&gt;E130&gt;$L$4,$N$4*(E130-$L$4)+$N$3*($L$4-$L$1),0))</f>
        <v>11204.91</v>
      </c>
      <c r="G130" s="247">
        <f>E130*$G$10</f>
        <v>18504.361999999997</v>
      </c>
      <c r="H130" s="247">
        <f>E130/100*0.5</f>
        <v>449.135</v>
      </c>
      <c r="I130" s="247">
        <f>F130+G130+H130</f>
        <v>30158.406999999996</v>
      </c>
      <c r="J130" s="246">
        <f>E130+I130</f>
        <v>119985.40699999999</v>
      </c>
      <c r="K130" s="181">
        <f>J130/$K$10</f>
        <v>9998.7839166666654</v>
      </c>
      <c r="L130" s="181">
        <f>J130/$L$10</f>
        <v>545.38821363636362</v>
      </c>
      <c r="M130" s="181">
        <f>J130/$M$10</f>
        <v>2726.9410681818181</v>
      </c>
      <c r="N130" s="181">
        <f>J130/$N$10</f>
        <v>72.718428484848474</v>
      </c>
      <c r="P130" s="181">
        <f>0.1*C130</f>
        <v>8766.5</v>
      </c>
      <c r="Q130" s="181">
        <f>0.1*J130</f>
        <v>11998.5407</v>
      </c>
      <c r="R130" s="229"/>
    </row>
    <row r="131" spans="1:18">
      <c r="A131" s="257" t="s">
        <v>275</v>
      </c>
      <c r="B131" s="258" t="s">
        <v>220</v>
      </c>
      <c r="C131" s="259">
        <v>87665</v>
      </c>
      <c r="D131" s="246">
        <v>2162</v>
      </c>
      <c r="E131" s="246">
        <f>C131+D131</f>
        <v>89827</v>
      </c>
      <c r="F131" s="181">
        <f>IF(E131&gt;$L$5,$N$5*(E131-$L$5)+$N$4*($L$5-$L$4)+$N$3*($L$4-$L$1),IF($L$5&gt;E131&gt;$L$4,$N$4*(E131-$L$4)+$N$3*($L$4-$L$1),0))</f>
        <v>11204.91</v>
      </c>
      <c r="G131" s="247">
        <f>E131*$G$10</f>
        <v>18504.361999999997</v>
      </c>
      <c r="H131" s="247">
        <f>E131/100*0.5</f>
        <v>449.135</v>
      </c>
      <c r="I131" s="247">
        <f>F131+G131+H131</f>
        <v>30158.406999999996</v>
      </c>
      <c r="J131" s="246">
        <f>E131+I131</f>
        <v>119985.40699999999</v>
      </c>
      <c r="K131" s="181">
        <f>J131/$K$10</f>
        <v>9998.7839166666654</v>
      </c>
      <c r="L131" s="181">
        <f>J131/$L$10</f>
        <v>545.38821363636362</v>
      </c>
      <c r="M131" s="181">
        <f>J131/$M$10</f>
        <v>2726.9410681818181</v>
      </c>
      <c r="N131" s="181">
        <f>J131/$N$10</f>
        <v>72.718428484848474</v>
      </c>
      <c r="P131" s="181">
        <f>0.1*C131</f>
        <v>8766.5</v>
      </c>
      <c r="Q131" s="181">
        <f>0.1*J131</f>
        <v>11998.5407</v>
      </c>
      <c r="R131" s="229"/>
    </row>
    <row r="132" spans="1:18">
      <c r="A132" s="257" t="s">
        <v>275</v>
      </c>
      <c r="B132" s="258" t="s">
        <v>221</v>
      </c>
      <c r="C132" s="259">
        <v>87665</v>
      </c>
      <c r="D132" s="246">
        <v>2162</v>
      </c>
      <c r="E132" s="246">
        <f>C132+D132</f>
        <v>89827</v>
      </c>
      <c r="F132" s="181">
        <f>IF(E132&gt;$L$5,$N$5*(E132-$L$5)+$N$4*($L$5-$L$4)+$N$3*($L$4-$L$1),IF($L$5&gt;E132&gt;$L$4,$N$4*(E132-$L$4)+$N$3*($L$4-$L$1),0))</f>
        <v>11204.91</v>
      </c>
      <c r="G132" s="247">
        <f>E132*$G$10</f>
        <v>18504.361999999997</v>
      </c>
      <c r="H132" s="247">
        <f>E132/100*0.5</f>
        <v>449.135</v>
      </c>
      <c r="I132" s="247">
        <f>F132+G132+H132</f>
        <v>30158.406999999996</v>
      </c>
      <c r="J132" s="246">
        <f>E132+I132</f>
        <v>119985.40699999999</v>
      </c>
      <c r="K132" s="181">
        <f>J132/$K$10</f>
        <v>9998.7839166666654</v>
      </c>
      <c r="L132" s="181">
        <f>J132/$L$10</f>
        <v>545.38821363636362</v>
      </c>
      <c r="M132" s="181">
        <f>J132/$M$10</f>
        <v>2726.9410681818181</v>
      </c>
      <c r="N132" s="181">
        <f>J132/$N$10</f>
        <v>72.718428484848474</v>
      </c>
      <c r="P132" s="181">
        <f>0.1*C132</f>
        <v>8766.5</v>
      </c>
      <c r="Q132" s="181">
        <f>0.1*J132</f>
        <v>11998.5407</v>
      </c>
      <c r="R132" s="229"/>
    </row>
    <row r="133" spans="1:18">
      <c r="A133" s="257" t="s">
        <v>275</v>
      </c>
      <c r="B133" s="258" t="s">
        <v>257</v>
      </c>
      <c r="C133" s="259">
        <v>87665</v>
      </c>
      <c r="D133" s="246">
        <v>2162</v>
      </c>
      <c r="E133" s="246">
        <f>C133+D133</f>
        <v>89827</v>
      </c>
      <c r="F133" s="181">
        <f>IF(E133&gt;$L$5,$N$5*(E133-$L$5)+$N$4*($L$5-$L$4)+$N$3*($L$4-$L$1),IF($L$5&gt;E133&gt;$L$4,$N$4*(E133-$L$4)+$N$3*($L$4-$L$1),0))</f>
        <v>11204.91</v>
      </c>
      <c r="G133" s="247">
        <f>E133*$G$10</f>
        <v>18504.361999999997</v>
      </c>
      <c r="H133" s="247">
        <f>E133/100*0.5</f>
        <v>449.135</v>
      </c>
      <c r="I133" s="247">
        <f>F133+G133+H133</f>
        <v>30158.406999999996</v>
      </c>
      <c r="J133" s="246">
        <f>E133+I133</f>
        <v>119985.40699999999</v>
      </c>
      <c r="K133" s="181">
        <f>J133/$K$10</f>
        <v>9998.7839166666654</v>
      </c>
      <c r="L133" s="181">
        <f>J133/$L$10</f>
        <v>545.38821363636362</v>
      </c>
      <c r="M133" s="181">
        <f>J133/$M$10</f>
        <v>2726.9410681818181</v>
      </c>
      <c r="N133" s="181">
        <f>J133/$N$10</f>
        <v>72.718428484848474</v>
      </c>
      <c r="P133" s="181">
        <f>0.1*C133</f>
        <v>8766.5</v>
      </c>
      <c r="Q133" s="181">
        <f>0.1*J133</f>
        <v>11998.5407</v>
      </c>
      <c r="R133" s="229"/>
    </row>
    <row r="134" spans="1:18">
      <c r="A134" s="257" t="s">
        <v>275</v>
      </c>
      <c r="B134" s="258" t="s">
        <v>258</v>
      </c>
      <c r="C134" s="259">
        <v>87665</v>
      </c>
      <c r="D134" s="246">
        <v>2162</v>
      </c>
      <c r="E134" s="246">
        <f>C134+D134</f>
        <v>89827</v>
      </c>
      <c r="F134" s="181">
        <f>IF(E134&gt;$L$5,$N$5*(E134-$L$5)+$N$4*($L$5-$L$4)+$N$3*($L$4-$L$1),IF($L$5&gt;E134&gt;$L$4,$N$4*(E134-$L$4)+$N$3*($L$4-$L$1),0))</f>
        <v>11204.91</v>
      </c>
      <c r="G134" s="247">
        <f>E134*$G$10</f>
        <v>18504.361999999997</v>
      </c>
      <c r="H134" s="247">
        <f>E134/100*0.5</f>
        <v>449.135</v>
      </c>
      <c r="I134" s="247">
        <f>F134+G134+H134</f>
        <v>30158.406999999996</v>
      </c>
      <c r="J134" s="246">
        <f>E134+I134</f>
        <v>119985.40699999999</v>
      </c>
      <c r="K134" s="181">
        <f>J134/$K$10</f>
        <v>9998.7839166666654</v>
      </c>
      <c r="L134" s="181">
        <f>J134/$L$10</f>
        <v>545.38821363636362</v>
      </c>
      <c r="M134" s="181">
        <f>J134/$M$10</f>
        <v>2726.9410681818181</v>
      </c>
      <c r="N134" s="181">
        <f>J134/$N$10</f>
        <v>72.718428484848474</v>
      </c>
      <c r="P134" s="181">
        <f>0.1*C134</f>
        <v>8766.5</v>
      </c>
      <c r="Q134" s="181">
        <f>0.1*J134</f>
        <v>11998.5407</v>
      </c>
      <c r="R134" s="229"/>
    </row>
    <row r="135" spans="1:18">
      <c r="A135" s="257" t="s">
        <v>275</v>
      </c>
      <c r="B135" s="258" t="s">
        <v>259</v>
      </c>
      <c r="C135" s="259">
        <v>93459</v>
      </c>
      <c r="D135" s="246">
        <v>2162</v>
      </c>
      <c r="E135" s="246">
        <f>C135+D135</f>
        <v>95621</v>
      </c>
      <c r="F135" s="181">
        <f>IF(E135&gt;$L$5,$N$5*(E135-$L$5)+$N$4*($L$5-$L$4)+$N$3*($L$4-$L$1),IF($L$5&gt;E135&gt;$L$4,$N$4*(E135-$L$4)+$N$3*($L$4-$L$1),0))</f>
        <v>12004.482</v>
      </c>
      <c r="G135" s="247">
        <f>E135*$G$10</f>
        <v>19697.926</v>
      </c>
      <c r="H135" s="247">
        <f>E135/100*0.5</f>
        <v>478.105</v>
      </c>
      <c r="I135" s="247">
        <f>F135+G135+H135</f>
        <v>32180.513</v>
      </c>
      <c r="J135" s="246">
        <f>E135+I135</f>
        <v>127801.513</v>
      </c>
      <c r="K135" s="181">
        <f>J135/$K$10</f>
        <v>10650.126083333334</v>
      </c>
      <c r="L135" s="181">
        <f>J135/$L$10</f>
        <v>580.91596818181824</v>
      </c>
      <c r="M135" s="181">
        <f>J135/$M$10</f>
        <v>2904.5798409090912</v>
      </c>
      <c r="N135" s="181">
        <f>J135/$N$10</f>
        <v>77.455462424242427</v>
      </c>
      <c r="P135" s="181">
        <f>0.1*C135</f>
        <v>9345.9</v>
      </c>
      <c r="Q135" s="181">
        <f>0.1*J135</f>
        <v>12780.151300000001</v>
      </c>
      <c r="R135" s="229"/>
    </row>
    <row r="136" spans="1:18">
      <c r="A136" s="257" t="s">
        <v>275</v>
      </c>
      <c r="B136" s="258" t="s">
        <v>260</v>
      </c>
      <c r="C136" s="259">
        <v>93459</v>
      </c>
      <c r="D136" s="246">
        <v>2162</v>
      </c>
      <c r="E136" s="246">
        <f>C136+D136</f>
        <v>95621</v>
      </c>
      <c r="F136" s="181">
        <f>IF(E136&gt;$L$5,$N$5*(E136-$L$5)+$N$4*($L$5-$L$4)+$N$3*($L$4-$L$1),IF($L$5&gt;E136&gt;$L$4,$N$4*(E136-$L$4)+$N$3*($L$4-$L$1),0))</f>
        <v>12004.482</v>
      </c>
      <c r="G136" s="247">
        <f>E136*$G$10</f>
        <v>19697.926</v>
      </c>
      <c r="H136" s="247">
        <f>E136/100*0.5</f>
        <v>478.105</v>
      </c>
      <c r="I136" s="247">
        <f>F136+G136+H136</f>
        <v>32180.513</v>
      </c>
      <c r="J136" s="246">
        <f>E136+I136</f>
        <v>127801.513</v>
      </c>
      <c r="K136" s="181">
        <f>J136/$K$10</f>
        <v>10650.126083333334</v>
      </c>
      <c r="L136" s="181">
        <f>J136/$L$10</f>
        <v>580.91596818181824</v>
      </c>
      <c r="M136" s="181">
        <f>J136/$M$10</f>
        <v>2904.5798409090912</v>
      </c>
      <c r="N136" s="181">
        <f>J136/$N$10</f>
        <v>77.455462424242427</v>
      </c>
      <c r="P136" s="181">
        <f>0.1*C136</f>
        <v>9345.9</v>
      </c>
      <c r="Q136" s="181">
        <f>0.1*J136</f>
        <v>12780.151300000001</v>
      </c>
      <c r="R136" s="229"/>
    </row>
    <row r="137" spans="1:18">
      <c r="A137" s="257" t="s">
        <v>275</v>
      </c>
      <c r="B137" s="258" t="s">
        <v>261</v>
      </c>
      <c r="C137" s="259">
        <v>93459</v>
      </c>
      <c r="D137" s="246">
        <v>2162</v>
      </c>
      <c r="E137" s="246">
        <f>C137+D137</f>
        <v>95621</v>
      </c>
      <c r="F137" s="181">
        <f>IF(E137&gt;$L$5,$N$5*(E137-$L$5)+$N$4*($L$5-$L$4)+$N$3*($L$4-$L$1),IF($L$5&gt;E137&gt;$L$4,$N$4*(E137-$L$4)+$N$3*($L$4-$L$1),0))</f>
        <v>12004.482</v>
      </c>
      <c r="G137" s="247">
        <f>E137*$G$10</f>
        <v>19697.926</v>
      </c>
      <c r="H137" s="247">
        <f>E137/100*0.5</f>
        <v>478.105</v>
      </c>
      <c r="I137" s="247">
        <f>F137+G137+H137</f>
        <v>32180.513</v>
      </c>
      <c r="J137" s="246">
        <f>E137+I137</f>
        <v>127801.513</v>
      </c>
      <c r="K137" s="181">
        <f>J137/$K$10</f>
        <v>10650.126083333334</v>
      </c>
      <c r="L137" s="181">
        <f>J137/$L$10</f>
        <v>580.91596818181824</v>
      </c>
      <c r="M137" s="181">
        <f>J137/$M$10</f>
        <v>2904.5798409090912</v>
      </c>
      <c r="N137" s="181">
        <f>J137/$N$10</f>
        <v>77.455462424242427</v>
      </c>
      <c r="P137" s="181">
        <f>0.1*C137</f>
        <v>9345.9</v>
      </c>
      <c r="Q137" s="181">
        <f>0.1*J137</f>
        <v>12780.151300000001</v>
      </c>
      <c r="R137" s="229"/>
    </row>
    <row r="138" spans="1:18">
      <c r="A138" s="257" t="s">
        <v>275</v>
      </c>
      <c r="B138" s="258" t="s">
        <v>262</v>
      </c>
      <c r="C138" s="259">
        <v>93459</v>
      </c>
      <c r="D138" s="246">
        <v>2162</v>
      </c>
      <c r="E138" s="246">
        <f>C138+D138</f>
        <v>95621</v>
      </c>
      <c r="F138" s="181">
        <f>IF(E138&gt;$L$5,$N$5*(E138-$L$5)+$N$4*($L$5-$L$4)+$N$3*($L$4-$L$1),IF($L$5&gt;E138&gt;$L$4,$N$4*(E138-$L$4)+$N$3*($L$4-$L$1),0))</f>
        <v>12004.482</v>
      </c>
      <c r="G138" s="247">
        <f>E138*$G$10</f>
        <v>19697.926</v>
      </c>
      <c r="H138" s="247">
        <f>E138/100*0.5</f>
        <v>478.105</v>
      </c>
      <c r="I138" s="247">
        <f>F138+G138+H138</f>
        <v>32180.513</v>
      </c>
      <c r="J138" s="246">
        <f>E138+I138</f>
        <v>127801.513</v>
      </c>
      <c r="K138" s="181">
        <f>J138/$K$10</f>
        <v>10650.126083333334</v>
      </c>
      <c r="L138" s="181">
        <f>J138/$L$10</f>
        <v>580.91596818181824</v>
      </c>
      <c r="M138" s="181">
        <f>J138/$M$10</f>
        <v>2904.5798409090912</v>
      </c>
      <c r="N138" s="181">
        <f>J138/$N$10</f>
        <v>77.455462424242427</v>
      </c>
      <c r="P138" s="181">
        <f>0.1*C138</f>
        <v>9345.9</v>
      </c>
      <c r="Q138" s="181">
        <f>0.1*J138</f>
        <v>12780.151300000001</v>
      </c>
      <c r="R138" s="229"/>
    </row>
    <row r="139" spans="1:18">
      <c r="A139" s="257" t="s">
        <v>275</v>
      </c>
      <c r="B139" s="258" t="s">
        <v>263</v>
      </c>
      <c r="C139" s="259">
        <v>93459</v>
      </c>
      <c r="D139" s="246">
        <v>2162</v>
      </c>
      <c r="E139" s="246">
        <f>C139+D139</f>
        <v>95621</v>
      </c>
      <c r="F139" s="181">
        <f>IF(E139&gt;$L$5,$N$5*(E139-$L$5)+$N$4*($L$5-$L$4)+$N$3*($L$4-$L$1),IF($L$5&gt;E139&gt;$L$4,$N$4*(E139-$L$4)+$N$3*($L$4-$L$1),0))</f>
        <v>12004.482</v>
      </c>
      <c r="G139" s="247">
        <f>E139*$G$10</f>
        <v>19697.926</v>
      </c>
      <c r="H139" s="247">
        <f>E139/100*0.5</f>
        <v>478.105</v>
      </c>
      <c r="I139" s="247">
        <f>F139+G139+H139</f>
        <v>32180.513</v>
      </c>
      <c r="J139" s="246">
        <f>E139+I139</f>
        <v>127801.513</v>
      </c>
      <c r="K139" s="181">
        <f>J139/$K$10</f>
        <v>10650.126083333334</v>
      </c>
      <c r="L139" s="181">
        <f>J139/$L$10</f>
        <v>580.91596818181824</v>
      </c>
      <c r="M139" s="181">
        <f>J139/$M$10</f>
        <v>2904.5798409090912</v>
      </c>
      <c r="N139" s="181">
        <f>J139/$N$10</f>
        <v>77.455462424242427</v>
      </c>
      <c r="P139" s="181">
        <f>0.1*C139</f>
        <v>9345.9</v>
      </c>
      <c r="Q139" s="181">
        <f>0.1*J139</f>
        <v>12780.151300000001</v>
      </c>
      <c r="R139" s="229"/>
    </row>
    <row r="140" spans="1:18">
      <c r="A140" s="257" t="s">
        <v>275</v>
      </c>
      <c r="B140" s="258" t="s">
        <v>264</v>
      </c>
      <c r="C140" s="259">
        <v>99254</v>
      </c>
      <c r="D140" s="246">
        <v>2162</v>
      </c>
      <c r="E140" s="246">
        <f>C140+D140</f>
        <v>101416</v>
      </c>
      <c r="F140" s="181">
        <f>IF(E140&gt;$L$5,$N$5*(E140-$L$5)+$N$4*($L$5-$L$4)+$N$3*($L$4-$L$1),IF($L$5&gt;E140&gt;$L$4,$N$4*(E140-$L$4)+$N$3*($L$4-$L$1),0))</f>
        <v>12804.192000000001</v>
      </c>
      <c r="G140" s="247">
        <f>E140*$G$10</f>
        <v>20891.696</v>
      </c>
      <c r="H140" s="247">
        <f>E140/100*0.5</f>
        <v>507.08</v>
      </c>
      <c r="I140" s="247">
        <f>F140+G140+H140</f>
        <v>34202.968</v>
      </c>
      <c r="J140" s="246">
        <f>E140+I140</f>
        <v>135618.968</v>
      </c>
      <c r="K140" s="181">
        <f>J140/$K$10</f>
        <v>11301.580666666667</v>
      </c>
      <c r="L140" s="181">
        <f>J140/$L$10</f>
        <v>616.44985454545451</v>
      </c>
      <c r="M140" s="181">
        <f>J140/$M$10</f>
        <v>3082.2492727272725</v>
      </c>
      <c r="N140" s="181">
        <f>J140/$N$10</f>
        <v>82.193313939393931</v>
      </c>
      <c r="P140" s="181">
        <f>0.1*C140</f>
        <v>9925.4000000000015</v>
      </c>
      <c r="Q140" s="181">
        <f>0.1*J140</f>
        <v>13561.8968</v>
      </c>
      <c r="R140" s="229"/>
    </row>
    <row r="141" spans="1:18">
      <c r="A141" s="257" t="s">
        <v>275</v>
      </c>
      <c r="B141" s="258" t="s">
        <v>265</v>
      </c>
      <c r="C141" s="259">
        <v>99254</v>
      </c>
      <c r="D141" s="246">
        <v>2162</v>
      </c>
      <c r="E141" s="246">
        <f>C141+D141</f>
        <v>101416</v>
      </c>
      <c r="F141" s="181">
        <f>IF(E141&gt;$L$5,$N$5*(E141-$L$5)+$N$4*($L$5-$L$4)+$N$3*($L$4-$L$1),IF($L$5&gt;E141&gt;$L$4,$N$4*(E141-$L$4)+$N$3*($L$4-$L$1),0))</f>
        <v>12804.192000000001</v>
      </c>
      <c r="G141" s="247">
        <f>E141*$G$10</f>
        <v>20891.696</v>
      </c>
      <c r="H141" s="247">
        <f>E141/100*0.5</f>
        <v>507.08</v>
      </c>
      <c r="I141" s="247">
        <f>F141+G141+H141</f>
        <v>34202.968</v>
      </c>
      <c r="J141" s="246">
        <f>E141+I141</f>
        <v>135618.968</v>
      </c>
      <c r="K141" s="181">
        <f>J141/$K$10</f>
        <v>11301.580666666667</v>
      </c>
      <c r="L141" s="181">
        <f>J141/$L$10</f>
        <v>616.44985454545451</v>
      </c>
      <c r="M141" s="181">
        <f>J141/$M$10</f>
        <v>3082.2492727272725</v>
      </c>
      <c r="N141" s="181">
        <f>J141/$N$10</f>
        <v>82.193313939393931</v>
      </c>
      <c r="P141" s="181">
        <f>0.1*C141</f>
        <v>9925.4000000000015</v>
      </c>
      <c r="Q141" s="181">
        <f>0.1*J141</f>
        <v>13561.8968</v>
      </c>
      <c r="R141" s="229"/>
    </row>
    <row r="142" spans="1:18">
      <c r="A142" s="257" t="s">
        <v>275</v>
      </c>
      <c r="B142" s="258" t="s">
        <v>266</v>
      </c>
      <c r="C142" s="259">
        <v>99254</v>
      </c>
      <c r="D142" s="246">
        <v>2162</v>
      </c>
      <c r="E142" s="246">
        <f>C142+D142</f>
        <v>101416</v>
      </c>
      <c r="F142" s="181">
        <f>IF(E142&gt;$L$5,$N$5*(E142-$L$5)+$N$4*($L$5-$L$4)+$N$3*($L$4-$L$1),IF($L$5&gt;E142&gt;$L$4,$N$4*(E142-$L$4)+$N$3*($L$4-$L$1),0))</f>
        <v>12804.192000000001</v>
      </c>
      <c r="G142" s="247">
        <f>E142*$G$10</f>
        <v>20891.696</v>
      </c>
      <c r="H142" s="247">
        <f>E142/100*0.5</f>
        <v>507.08</v>
      </c>
      <c r="I142" s="247">
        <f>F142+G142+H142</f>
        <v>34202.968</v>
      </c>
      <c r="J142" s="246">
        <f>E142+I142</f>
        <v>135618.968</v>
      </c>
      <c r="K142" s="181">
        <f>J142/$K$10</f>
        <v>11301.580666666667</v>
      </c>
      <c r="L142" s="181">
        <f>J142/$L$10</f>
        <v>616.44985454545451</v>
      </c>
      <c r="M142" s="181">
        <f>J142/$M$10</f>
        <v>3082.2492727272725</v>
      </c>
      <c r="N142" s="181">
        <f>J142/$N$10</f>
        <v>82.193313939393931</v>
      </c>
      <c r="P142" s="181">
        <f>0.1*C142</f>
        <v>9925.4000000000015</v>
      </c>
      <c r="Q142" s="181">
        <f>0.1*J142</f>
        <v>13561.8968</v>
      </c>
      <c r="R142" s="229"/>
    </row>
    <row r="143" spans="1:18">
      <c r="A143" s="257" t="s">
        <v>275</v>
      </c>
      <c r="B143" s="258" t="s">
        <v>267</v>
      </c>
      <c r="C143" s="259">
        <v>99254</v>
      </c>
      <c r="D143" s="246">
        <v>2162</v>
      </c>
      <c r="E143" s="246">
        <f>C143+D143</f>
        <v>101416</v>
      </c>
      <c r="F143" s="181">
        <f>IF(E143&gt;$L$5,$N$5*(E143-$L$5)+$N$4*($L$5-$L$4)+$N$3*($L$4-$L$1),IF($L$5&gt;E143&gt;$L$4,$N$4*(E143-$L$4)+$N$3*($L$4-$L$1),0))</f>
        <v>12804.192000000001</v>
      </c>
      <c r="G143" s="247">
        <f>E143*$G$10</f>
        <v>20891.696</v>
      </c>
      <c r="H143" s="247">
        <f>E143/100*0.5</f>
        <v>507.08</v>
      </c>
      <c r="I143" s="247">
        <f>F143+G143+H143</f>
        <v>34202.968</v>
      </c>
      <c r="J143" s="246">
        <f>E143+I143</f>
        <v>135618.968</v>
      </c>
      <c r="K143" s="181">
        <f>J143/$K$10</f>
        <v>11301.580666666667</v>
      </c>
      <c r="L143" s="181">
        <f>J143/$L$10</f>
        <v>616.44985454545451</v>
      </c>
      <c r="M143" s="181">
        <f>J143/$M$10</f>
        <v>3082.2492727272725</v>
      </c>
      <c r="N143" s="181">
        <f>J143/$N$10</f>
        <v>82.193313939393931</v>
      </c>
      <c r="P143" s="181">
        <f>0.1*C143</f>
        <v>9925.4000000000015</v>
      </c>
      <c r="Q143" s="181">
        <f>0.1*J143</f>
        <v>13561.8968</v>
      </c>
      <c r="R143" s="229"/>
    </row>
    <row r="144" spans="1:18">
      <c r="A144" s="257" t="s">
        <v>275</v>
      </c>
      <c r="B144" s="258" t="s">
        <v>268</v>
      </c>
      <c r="C144" s="259">
        <v>99254</v>
      </c>
      <c r="D144" s="246">
        <v>2162</v>
      </c>
      <c r="E144" s="246">
        <f>C144+D144</f>
        <v>101416</v>
      </c>
      <c r="F144" s="181">
        <f>IF(E144&gt;$L$5,$N$5*(E144-$L$5)+$N$4*($L$5-$L$4)+$N$3*($L$4-$L$1),IF($L$5&gt;E144&gt;$L$4,$N$4*(E144-$L$4)+$N$3*($L$4-$L$1),0))</f>
        <v>12804.192000000001</v>
      </c>
      <c r="G144" s="247">
        <f>E144*$G$10</f>
        <v>20891.696</v>
      </c>
      <c r="H144" s="247">
        <f>E144/100*0.5</f>
        <v>507.08</v>
      </c>
      <c r="I144" s="247">
        <f>F144+G144+H144</f>
        <v>34202.968</v>
      </c>
      <c r="J144" s="246">
        <f>E144+I144</f>
        <v>135618.968</v>
      </c>
      <c r="K144" s="181">
        <f>J144/$K$10</f>
        <v>11301.580666666667</v>
      </c>
      <c r="L144" s="181">
        <f>J144/$L$10</f>
        <v>616.44985454545451</v>
      </c>
      <c r="M144" s="181">
        <f>J144/$M$10</f>
        <v>3082.2492727272725</v>
      </c>
      <c r="N144" s="181">
        <f>J144/$N$10</f>
        <v>82.193313939393931</v>
      </c>
      <c r="P144" s="181">
        <f>0.1*C144</f>
        <v>9925.4000000000015</v>
      </c>
      <c r="Q144" s="181">
        <f>0.1*J144</f>
        <v>13561.8968</v>
      </c>
      <c r="R144" s="229"/>
    </row>
    <row r="145" spans="1:18">
      <c r="A145" s="257" t="s">
        <v>275</v>
      </c>
      <c r="B145" s="258" t="s">
        <v>269</v>
      </c>
      <c r="C145" s="259">
        <v>105042</v>
      </c>
      <c r="D145" s="246">
        <v>2162</v>
      </c>
      <c r="E145" s="246">
        <f>C145+D145</f>
        <v>107204</v>
      </c>
      <c r="F145" s="181">
        <f>IF(E145&gt;$L$5,$N$5*(E145-$L$5)+$N$4*($L$5-$L$4)+$N$3*($L$4-$L$1),IF($L$5&gt;E145&gt;$L$4,$N$4*(E145-$L$4)+$N$3*($L$4-$L$1),0))</f>
        <v>13602.936000000002</v>
      </c>
      <c r="G145" s="247">
        <f>E145*$G$10</f>
        <v>22084.023999999998</v>
      </c>
      <c r="H145" s="247">
        <f>E145/100*0.5</f>
        <v>536.02</v>
      </c>
      <c r="I145" s="247">
        <f>F145+G145+H145</f>
        <v>36222.979999999996</v>
      </c>
      <c r="J145" s="246">
        <f>E145+I145</f>
        <v>143426.97999999998</v>
      </c>
      <c r="K145" s="181">
        <f>J145/$K$10</f>
        <v>11952.248333333331</v>
      </c>
      <c r="L145" s="181">
        <f>J145/$L$10</f>
        <v>651.94081818181814</v>
      </c>
      <c r="M145" s="181">
        <f>J145/$M$10</f>
        <v>3259.7040909090906</v>
      </c>
      <c r="N145" s="181">
        <f>J145/$N$10</f>
        <v>86.925442424242419</v>
      </c>
      <c r="P145" s="181">
        <f>0.1*C145</f>
        <v>10504.2</v>
      </c>
      <c r="Q145" s="181">
        <f>0.1*J145</f>
        <v>14342.697999999999</v>
      </c>
      <c r="R145" s="229"/>
    </row>
    <row r="146" spans="1:18">
      <c r="A146" s="257"/>
      <c r="B146" s="258"/>
      <c r="C146" s="259"/>
      <c r="D146" s="246"/>
      <c r="E146" s="246"/>
      <c r="F146" s="181"/>
      <c r="G146" s="247"/>
      <c r="H146" s="247"/>
      <c r="I146" s="247"/>
      <c r="J146" s="246"/>
      <c r="K146" s="181"/>
      <c r="L146" s="181"/>
      <c r="M146" s="181"/>
      <c r="N146" s="181"/>
      <c r="P146" s="181"/>
      <c r="Q146" s="181"/>
      <c r="R146" s="229"/>
    </row>
    <row r="147" spans="1:18">
      <c r="A147" s="257"/>
      <c r="B147" s="258"/>
      <c r="C147" s="259"/>
      <c r="D147" s="246"/>
      <c r="E147" s="246"/>
      <c r="F147" s="181"/>
      <c r="G147" s="247"/>
      <c r="H147" s="247"/>
      <c r="I147" s="247"/>
      <c r="J147" s="246"/>
      <c r="K147" s="181"/>
      <c r="L147" s="181"/>
      <c r="M147" s="181"/>
      <c r="N147" s="181"/>
      <c r="P147" s="181"/>
      <c r="Q147" s="181"/>
      <c r="R147" s="229"/>
    </row>
    <row r="148" spans="1:18">
      <c r="A148" s="257" t="s">
        <v>276</v>
      </c>
      <c r="B148" s="258" t="s">
        <v>220</v>
      </c>
      <c r="C148" s="259">
        <v>87665</v>
      </c>
      <c r="D148" s="246">
        <v>2162</v>
      </c>
      <c r="E148" s="246">
        <f>C148+D148</f>
        <v>89827</v>
      </c>
      <c r="F148" s="181">
        <f>IF(E148&gt;$L$5,$N$5*(E148-$L$5)+$N$4*($L$5-$L$4)+$N$3*($L$4-$L$1),IF($L$5&gt;E148&gt;$L$4,$N$4*(E148-$L$4)+$N$3*($L$4-$L$1),0))</f>
        <v>11204.91</v>
      </c>
      <c r="G148" s="247">
        <f>E148*$G$10</f>
        <v>18504.361999999997</v>
      </c>
      <c r="H148" s="247">
        <f>E148/100*0.5</f>
        <v>449.135</v>
      </c>
      <c r="I148" s="247">
        <f>F148+G148+H148</f>
        <v>30158.406999999996</v>
      </c>
      <c r="J148" s="246">
        <f>E148+I148</f>
        <v>119985.40699999999</v>
      </c>
      <c r="K148" s="181">
        <f>J148/$K$10</f>
        <v>9998.7839166666654</v>
      </c>
      <c r="L148" s="181">
        <f>J148/$L$10</f>
        <v>545.38821363636362</v>
      </c>
      <c r="M148" s="181">
        <f>J148/$M$10</f>
        <v>2726.9410681818181</v>
      </c>
      <c r="N148" s="181">
        <f>J148/$N$10</f>
        <v>72.718428484848474</v>
      </c>
      <c r="P148" s="181">
        <f>0.1*C148</f>
        <v>8766.5</v>
      </c>
      <c r="Q148" s="181">
        <f>0.1*J148</f>
        <v>11998.5407</v>
      </c>
      <c r="R148" s="229"/>
    </row>
    <row r="149" spans="1:18">
      <c r="A149" s="257" t="s">
        <v>276</v>
      </c>
      <c r="B149" s="258" t="s">
        <v>221</v>
      </c>
      <c r="C149" s="259">
        <v>87665</v>
      </c>
      <c r="D149" s="246">
        <v>2162</v>
      </c>
      <c r="E149" s="246">
        <f>C149+D149</f>
        <v>89827</v>
      </c>
      <c r="F149" s="181">
        <f>IF(E149&gt;$L$5,$N$5*(E149-$L$5)+$N$4*($L$5-$L$4)+$N$3*($L$4-$L$1),IF($L$5&gt;E149&gt;$L$4,$N$4*(E149-$L$4)+$N$3*($L$4-$L$1),0))</f>
        <v>11204.91</v>
      </c>
      <c r="G149" s="247">
        <f>E149*$G$10</f>
        <v>18504.361999999997</v>
      </c>
      <c r="H149" s="247">
        <f>E149/100*0.5</f>
        <v>449.135</v>
      </c>
      <c r="I149" s="247">
        <f>F149+G149+H149</f>
        <v>30158.406999999996</v>
      </c>
      <c r="J149" s="246">
        <f>E149+I149</f>
        <v>119985.40699999999</v>
      </c>
      <c r="K149" s="181">
        <f>J149/$K$10</f>
        <v>9998.7839166666654</v>
      </c>
      <c r="L149" s="181">
        <f>J149/$L$10</f>
        <v>545.38821363636362</v>
      </c>
      <c r="M149" s="181">
        <f>J149/$M$10</f>
        <v>2726.9410681818181</v>
      </c>
      <c r="N149" s="181">
        <f>J149/$N$10</f>
        <v>72.718428484848474</v>
      </c>
      <c r="P149" s="181">
        <f>0.1*C149</f>
        <v>8766.5</v>
      </c>
      <c r="Q149" s="181">
        <f>0.1*J149</f>
        <v>11998.5407</v>
      </c>
      <c r="R149" s="229"/>
    </row>
    <row r="150" spans="1:18">
      <c r="A150" s="257" t="s">
        <v>276</v>
      </c>
      <c r="B150" s="258" t="s">
        <v>257</v>
      </c>
      <c r="C150" s="259">
        <v>87665</v>
      </c>
      <c r="D150" s="246">
        <v>2162</v>
      </c>
      <c r="E150" s="246">
        <f>C150+D150</f>
        <v>89827</v>
      </c>
      <c r="F150" s="181">
        <f>IF(E150&gt;$L$5,$N$5*(E150-$L$5)+$N$4*($L$5-$L$4)+$N$3*($L$4-$L$1),IF($L$5&gt;E150&gt;$L$4,$N$4*(E150-$L$4)+$N$3*($L$4-$L$1),0))</f>
        <v>11204.91</v>
      </c>
      <c r="G150" s="247">
        <f>E150*$G$10</f>
        <v>18504.361999999997</v>
      </c>
      <c r="H150" s="247">
        <f>E150/100*0.5</f>
        <v>449.135</v>
      </c>
      <c r="I150" s="247">
        <f>F150+G150+H150</f>
        <v>30158.406999999996</v>
      </c>
      <c r="J150" s="246">
        <f>E150+I150</f>
        <v>119985.40699999999</v>
      </c>
      <c r="K150" s="181">
        <f>J150/$K$10</f>
        <v>9998.7839166666654</v>
      </c>
      <c r="L150" s="181">
        <f>J150/$L$10</f>
        <v>545.38821363636362</v>
      </c>
      <c r="M150" s="181">
        <f>J150/$M$10</f>
        <v>2726.9410681818181</v>
      </c>
      <c r="N150" s="181">
        <f>J150/$N$10</f>
        <v>72.718428484848474</v>
      </c>
      <c r="P150" s="181">
        <f>0.1*C150</f>
        <v>8766.5</v>
      </c>
      <c r="Q150" s="181">
        <f>0.1*J150</f>
        <v>11998.5407</v>
      </c>
      <c r="R150" s="229"/>
    </row>
    <row r="151" spans="1:18">
      <c r="A151" s="257" t="s">
        <v>276</v>
      </c>
      <c r="B151" s="258" t="s">
        <v>258</v>
      </c>
      <c r="C151" s="259">
        <v>87665</v>
      </c>
      <c r="D151" s="246">
        <v>2162</v>
      </c>
      <c r="E151" s="246">
        <f>C151+D151</f>
        <v>89827</v>
      </c>
      <c r="F151" s="181">
        <f>IF(E151&gt;$L$5,$N$5*(E151-$L$5)+$N$4*($L$5-$L$4)+$N$3*($L$4-$L$1),IF($L$5&gt;E151&gt;$L$4,$N$4*(E151-$L$4)+$N$3*($L$4-$L$1),0))</f>
        <v>11204.91</v>
      </c>
      <c r="G151" s="247">
        <f>E151*$G$10</f>
        <v>18504.361999999997</v>
      </c>
      <c r="H151" s="247">
        <f>E151/100*0.5</f>
        <v>449.135</v>
      </c>
      <c r="I151" s="247">
        <f>F151+G151+H151</f>
        <v>30158.406999999996</v>
      </c>
      <c r="J151" s="246">
        <f>E151+I151</f>
        <v>119985.40699999999</v>
      </c>
      <c r="K151" s="181">
        <f>J151/$K$10</f>
        <v>9998.7839166666654</v>
      </c>
      <c r="L151" s="181">
        <f>J151/$L$10</f>
        <v>545.38821363636362</v>
      </c>
      <c r="M151" s="181">
        <f>J151/$M$10</f>
        <v>2726.9410681818181</v>
      </c>
      <c r="N151" s="181">
        <f>J151/$N$10</f>
        <v>72.718428484848474</v>
      </c>
      <c r="P151" s="181">
        <f>0.1*C151</f>
        <v>8766.5</v>
      </c>
      <c r="Q151" s="181">
        <f>0.1*J151</f>
        <v>11998.5407</v>
      </c>
      <c r="R151" s="229"/>
    </row>
    <row r="152" spans="1:18">
      <c r="A152" s="257" t="s">
        <v>276</v>
      </c>
      <c r="B152" s="258" t="s">
        <v>259</v>
      </c>
      <c r="C152" s="259">
        <v>93459</v>
      </c>
      <c r="D152" s="246">
        <v>2162</v>
      </c>
      <c r="E152" s="246">
        <f>C152+D152</f>
        <v>95621</v>
      </c>
      <c r="F152" s="181">
        <f>IF(E152&gt;$L$5,$N$5*(E152-$L$5)+$N$4*($L$5-$L$4)+$N$3*($L$4-$L$1),IF($L$5&gt;E152&gt;$L$4,$N$4*(E152-$L$4)+$N$3*($L$4-$L$1),0))</f>
        <v>12004.482</v>
      </c>
      <c r="G152" s="247">
        <f>E152*$G$10</f>
        <v>19697.926</v>
      </c>
      <c r="H152" s="247">
        <f>E152/100*0.5</f>
        <v>478.105</v>
      </c>
      <c r="I152" s="247">
        <f>F152+G152+H152</f>
        <v>32180.513</v>
      </c>
      <c r="J152" s="246">
        <f>E152+I152</f>
        <v>127801.513</v>
      </c>
      <c r="K152" s="181">
        <f>J152/$K$10</f>
        <v>10650.126083333334</v>
      </c>
      <c r="L152" s="181">
        <f>J152/$L$10</f>
        <v>580.91596818181824</v>
      </c>
      <c r="M152" s="181">
        <f>J152/$M$10</f>
        <v>2904.5798409090912</v>
      </c>
      <c r="N152" s="181">
        <f>J152/$N$10</f>
        <v>77.455462424242427</v>
      </c>
      <c r="P152" s="181">
        <f>0.1*C152</f>
        <v>9345.9</v>
      </c>
      <c r="Q152" s="181">
        <f>0.1*J152</f>
        <v>12780.151300000001</v>
      </c>
      <c r="R152" s="229"/>
    </row>
    <row r="153" spans="1:18">
      <c r="A153" s="257" t="s">
        <v>276</v>
      </c>
      <c r="B153" s="258" t="s">
        <v>260</v>
      </c>
      <c r="C153" s="259">
        <v>93459</v>
      </c>
      <c r="D153" s="246">
        <v>2162</v>
      </c>
      <c r="E153" s="246">
        <f>C153+D153</f>
        <v>95621</v>
      </c>
      <c r="F153" s="181">
        <f>IF(E153&gt;$L$5,$N$5*(E153-$L$5)+$N$4*($L$5-$L$4)+$N$3*($L$4-$L$1),IF($L$5&gt;E153&gt;$L$4,$N$4*(E153-$L$4)+$N$3*($L$4-$L$1),0))</f>
        <v>12004.482</v>
      </c>
      <c r="G153" s="247">
        <f>E153*$G$10</f>
        <v>19697.926</v>
      </c>
      <c r="H153" s="247">
        <f>E153/100*0.5</f>
        <v>478.105</v>
      </c>
      <c r="I153" s="247">
        <f>F153+G153+H153</f>
        <v>32180.513</v>
      </c>
      <c r="J153" s="246">
        <f>E153+I153</f>
        <v>127801.513</v>
      </c>
      <c r="K153" s="181">
        <f>J153/$K$10</f>
        <v>10650.126083333334</v>
      </c>
      <c r="L153" s="181">
        <f>J153/$L$10</f>
        <v>580.91596818181824</v>
      </c>
      <c r="M153" s="181">
        <f>J153/$M$10</f>
        <v>2904.5798409090912</v>
      </c>
      <c r="N153" s="181">
        <f>J153/$N$10</f>
        <v>77.455462424242427</v>
      </c>
      <c r="P153" s="181">
        <f>0.1*C153</f>
        <v>9345.9</v>
      </c>
      <c r="Q153" s="181">
        <f>0.1*J153</f>
        <v>12780.151300000001</v>
      </c>
      <c r="R153" s="229"/>
    </row>
    <row r="154" spans="1:18">
      <c r="A154" s="257" t="s">
        <v>276</v>
      </c>
      <c r="B154" s="258" t="s">
        <v>261</v>
      </c>
      <c r="C154" s="259">
        <v>93459</v>
      </c>
      <c r="D154" s="246">
        <v>2162</v>
      </c>
      <c r="E154" s="246">
        <f>C154+D154</f>
        <v>95621</v>
      </c>
      <c r="F154" s="181">
        <f>IF(E154&gt;$L$5,$N$5*(E154-$L$5)+$N$4*($L$5-$L$4)+$N$3*($L$4-$L$1),IF($L$5&gt;E154&gt;$L$4,$N$4*(E154-$L$4)+$N$3*($L$4-$L$1),0))</f>
        <v>12004.482</v>
      </c>
      <c r="G154" s="247">
        <f>E154*$G$10</f>
        <v>19697.926</v>
      </c>
      <c r="H154" s="247">
        <f>E154/100*0.5</f>
        <v>478.105</v>
      </c>
      <c r="I154" s="247">
        <f>F154+G154+H154</f>
        <v>32180.513</v>
      </c>
      <c r="J154" s="246">
        <f>E154+I154</f>
        <v>127801.513</v>
      </c>
      <c r="K154" s="181">
        <f>J154/$K$10</f>
        <v>10650.126083333334</v>
      </c>
      <c r="L154" s="181">
        <f>J154/$L$10</f>
        <v>580.91596818181824</v>
      </c>
      <c r="M154" s="181">
        <f>J154/$M$10</f>
        <v>2904.5798409090912</v>
      </c>
      <c r="N154" s="181">
        <f>J154/$N$10</f>
        <v>77.455462424242427</v>
      </c>
      <c r="P154" s="181">
        <f>0.1*C154</f>
        <v>9345.9</v>
      </c>
      <c r="Q154" s="181">
        <f>0.1*J154</f>
        <v>12780.151300000001</v>
      </c>
      <c r="R154" s="229"/>
    </row>
    <row r="155" spans="1:18">
      <c r="A155" s="257" t="s">
        <v>276</v>
      </c>
      <c r="B155" s="258" t="s">
        <v>262</v>
      </c>
      <c r="C155" s="259">
        <v>93459</v>
      </c>
      <c r="D155" s="246">
        <v>2162</v>
      </c>
      <c r="E155" s="246">
        <f>C155+D155</f>
        <v>95621</v>
      </c>
      <c r="F155" s="181">
        <f>IF(E155&gt;$L$5,$N$5*(E155-$L$5)+$N$4*($L$5-$L$4)+$N$3*($L$4-$L$1),IF($L$5&gt;E155&gt;$L$4,$N$4*(E155-$L$4)+$N$3*($L$4-$L$1),0))</f>
        <v>12004.482</v>
      </c>
      <c r="G155" s="247">
        <f>E155*$G$10</f>
        <v>19697.926</v>
      </c>
      <c r="H155" s="247">
        <f>E155/100*0.5</f>
        <v>478.105</v>
      </c>
      <c r="I155" s="247">
        <f>F155+G155+H155</f>
        <v>32180.513</v>
      </c>
      <c r="J155" s="246">
        <f>E155+I155</f>
        <v>127801.513</v>
      </c>
      <c r="K155" s="181">
        <f>J155/$K$10</f>
        <v>10650.126083333334</v>
      </c>
      <c r="L155" s="181">
        <f>J155/$L$10</f>
        <v>580.91596818181824</v>
      </c>
      <c r="M155" s="181">
        <f>J155/$M$10</f>
        <v>2904.5798409090912</v>
      </c>
      <c r="N155" s="181">
        <f>J155/$N$10</f>
        <v>77.455462424242427</v>
      </c>
      <c r="P155" s="181">
        <f>0.1*C155</f>
        <v>9345.9</v>
      </c>
      <c r="Q155" s="181">
        <f>0.1*J155</f>
        <v>12780.151300000001</v>
      </c>
      <c r="R155" s="229"/>
    </row>
    <row r="156" spans="1:18">
      <c r="A156" s="257" t="s">
        <v>276</v>
      </c>
      <c r="B156" s="258" t="s">
        <v>263</v>
      </c>
      <c r="C156" s="259">
        <v>93459</v>
      </c>
      <c r="D156" s="246">
        <v>2162</v>
      </c>
      <c r="E156" s="246">
        <f>C156+D156</f>
        <v>95621</v>
      </c>
      <c r="F156" s="181">
        <f>IF(E156&gt;$L$5,$N$5*(E156-$L$5)+$N$4*($L$5-$L$4)+$N$3*($L$4-$L$1),IF($L$5&gt;E156&gt;$L$4,$N$4*(E156-$L$4)+$N$3*($L$4-$L$1),0))</f>
        <v>12004.482</v>
      </c>
      <c r="G156" s="247">
        <f>E156*$G$10</f>
        <v>19697.926</v>
      </c>
      <c r="H156" s="247">
        <f>E156/100*0.5</f>
        <v>478.105</v>
      </c>
      <c r="I156" s="247">
        <f>F156+G156+H156</f>
        <v>32180.513</v>
      </c>
      <c r="J156" s="246">
        <f>E156+I156</f>
        <v>127801.513</v>
      </c>
      <c r="K156" s="181">
        <f>J156/$K$10</f>
        <v>10650.126083333334</v>
      </c>
      <c r="L156" s="181">
        <f>J156/$L$10</f>
        <v>580.91596818181824</v>
      </c>
      <c r="M156" s="181">
        <f>J156/$M$10</f>
        <v>2904.5798409090912</v>
      </c>
      <c r="N156" s="181">
        <f>J156/$N$10</f>
        <v>77.455462424242427</v>
      </c>
      <c r="P156" s="181">
        <f>0.1*C156</f>
        <v>9345.9</v>
      </c>
      <c r="Q156" s="181">
        <f>0.1*J156</f>
        <v>12780.151300000001</v>
      </c>
      <c r="R156" s="229"/>
    </row>
    <row r="157" spans="1:18">
      <c r="A157" s="257" t="s">
        <v>276</v>
      </c>
      <c r="B157" s="258" t="s">
        <v>264</v>
      </c>
      <c r="C157" s="259">
        <v>99254</v>
      </c>
      <c r="D157" s="246">
        <v>2162</v>
      </c>
      <c r="E157" s="246">
        <f>C157+D157</f>
        <v>101416</v>
      </c>
      <c r="F157" s="181">
        <f>IF(E157&gt;$L$5,$N$5*(E157-$L$5)+$N$4*($L$5-$L$4)+$N$3*($L$4-$L$1),IF($L$5&gt;E157&gt;$L$4,$N$4*(E157-$L$4)+$N$3*($L$4-$L$1),0))</f>
        <v>12804.192000000001</v>
      </c>
      <c r="G157" s="247">
        <f>E157*$G$10</f>
        <v>20891.696</v>
      </c>
      <c r="H157" s="247">
        <f>E157/100*0.5</f>
        <v>507.08</v>
      </c>
      <c r="I157" s="247">
        <f>F157+G157+H157</f>
        <v>34202.968</v>
      </c>
      <c r="J157" s="246">
        <f>E157+I157</f>
        <v>135618.968</v>
      </c>
      <c r="K157" s="181">
        <f>J157/$K$10</f>
        <v>11301.580666666667</v>
      </c>
      <c r="L157" s="181">
        <f>J157/$L$10</f>
        <v>616.44985454545451</v>
      </c>
      <c r="M157" s="181">
        <f>J157/$M$10</f>
        <v>3082.2492727272725</v>
      </c>
      <c r="N157" s="181">
        <f>J157/$N$10</f>
        <v>82.193313939393931</v>
      </c>
      <c r="P157" s="181">
        <f>0.1*C157</f>
        <v>9925.4000000000015</v>
      </c>
      <c r="Q157" s="181">
        <f>0.1*J157</f>
        <v>13561.8968</v>
      </c>
      <c r="R157" s="229"/>
    </row>
    <row r="158" spans="1:18">
      <c r="A158" s="257" t="s">
        <v>276</v>
      </c>
      <c r="B158" s="258" t="s">
        <v>265</v>
      </c>
      <c r="C158" s="259">
        <v>99254</v>
      </c>
      <c r="D158" s="246">
        <v>2162</v>
      </c>
      <c r="E158" s="246">
        <f>C158+D158</f>
        <v>101416</v>
      </c>
      <c r="F158" s="181">
        <f>IF(E158&gt;$L$5,$N$5*(E158-$L$5)+$N$4*($L$5-$L$4)+$N$3*($L$4-$L$1),IF($L$5&gt;E158&gt;$L$4,$N$4*(E158-$L$4)+$N$3*($L$4-$L$1),0))</f>
        <v>12804.192000000001</v>
      </c>
      <c r="G158" s="247">
        <f>E158*$G$10</f>
        <v>20891.696</v>
      </c>
      <c r="H158" s="247">
        <f>E158/100*0.5</f>
        <v>507.08</v>
      </c>
      <c r="I158" s="247">
        <f>F158+G158+H158</f>
        <v>34202.968</v>
      </c>
      <c r="J158" s="246">
        <f>E158+I158</f>
        <v>135618.968</v>
      </c>
      <c r="K158" s="181">
        <f>J158/$K$10</f>
        <v>11301.580666666667</v>
      </c>
      <c r="L158" s="181">
        <f>J158/$L$10</f>
        <v>616.44985454545451</v>
      </c>
      <c r="M158" s="181">
        <f>J158/$M$10</f>
        <v>3082.2492727272725</v>
      </c>
      <c r="N158" s="181">
        <f>J158/$N$10</f>
        <v>82.193313939393931</v>
      </c>
      <c r="P158" s="181">
        <f>0.1*C158</f>
        <v>9925.4000000000015</v>
      </c>
      <c r="Q158" s="181">
        <f>0.1*J158</f>
        <v>13561.8968</v>
      </c>
      <c r="R158" s="229"/>
    </row>
    <row r="159" spans="1:18">
      <c r="A159" s="257" t="s">
        <v>276</v>
      </c>
      <c r="B159" s="258" t="s">
        <v>266</v>
      </c>
      <c r="C159" s="259">
        <v>99254</v>
      </c>
      <c r="D159" s="246">
        <v>2162</v>
      </c>
      <c r="E159" s="246">
        <f>C159+D159</f>
        <v>101416</v>
      </c>
      <c r="F159" s="181">
        <f>IF(E159&gt;$L$5,$N$5*(E159-$L$5)+$N$4*($L$5-$L$4)+$N$3*($L$4-$L$1),IF($L$5&gt;E159&gt;$L$4,$N$4*(E159-$L$4)+$N$3*($L$4-$L$1),0))</f>
        <v>12804.192000000001</v>
      </c>
      <c r="G159" s="247">
        <f>E159*$G$10</f>
        <v>20891.696</v>
      </c>
      <c r="H159" s="247">
        <f>E159/100*0.5</f>
        <v>507.08</v>
      </c>
      <c r="I159" s="247">
        <f>F159+G159+H159</f>
        <v>34202.968</v>
      </c>
      <c r="J159" s="246">
        <f>E159+I159</f>
        <v>135618.968</v>
      </c>
      <c r="K159" s="181">
        <f>J159/$K$10</f>
        <v>11301.580666666667</v>
      </c>
      <c r="L159" s="181">
        <f>J159/$L$10</f>
        <v>616.44985454545451</v>
      </c>
      <c r="M159" s="181">
        <f>J159/$M$10</f>
        <v>3082.2492727272725</v>
      </c>
      <c r="N159" s="181">
        <f>J159/$N$10</f>
        <v>82.193313939393931</v>
      </c>
      <c r="P159" s="181">
        <f>0.1*C159</f>
        <v>9925.4000000000015</v>
      </c>
      <c r="Q159" s="181">
        <f>0.1*J159</f>
        <v>13561.8968</v>
      </c>
      <c r="R159" s="229"/>
    </row>
    <row r="160" spans="1:18">
      <c r="A160" s="257" t="s">
        <v>276</v>
      </c>
      <c r="B160" s="258" t="s">
        <v>267</v>
      </c>
      <c r="C160" s="259">
        <v>99254</v>
      </c>
      <c r="D160" s="246">
        <v>2162</v>
      </c>
      <c r="E160" s="246">
        <f>C160+D160</f>
        <v>101416</v>
      </c>
      <c r="F160" s="181">
        <f>IF(E160&gt;$L$5,$N$5*(E160-$L$5)+$N$4*($L$5-$L$4)+$N$3*($L$4-$L$1),IF($L$5&gt;E160&gt;$L$4,$N$4*(E160-$L$4)+$N$3*($L$4-$L$1),0))</f>
        <v>12804.192000000001</v>
      </c>
      <c r="G160" s="247">
        <f>E160*$G$10</f>
        <v>20891.696</v>
      </c>
      <c r="H160" s="247">
        <f>E160/100*0.5</f>
        <v>507.08</v>
      </c>
      <c r="I160" s="247">
        <f>F160+G160+H160</f>
        <v>34202.968</v>
      </c>
      <c r="J160" s="246">
        <f>E160+I160</f>
        <v>135618.968</v>
      </c>
      <c r="K160" s="181">
        <f>J160/$K$10</f>
        <v>11301.580666666667</v>
      </c>
      <c r="L160" s="181">
        <f>J160/$L$10</f>
        <v>616.44985454545451</v>
      </c>
      <c r="M160" s="181">
        <f>J160/$M$10</f>
        <v>3082.2492727272725</v>
      </c>
      <c r="N160" s="181">
        <f>J160/$N$10</f>
        <v>82.193313939393931</v>
      </c>
      <c r="P160" s="181">
        <f>0.1*C160</f>
        <v>9925.4000000000015</v>
      </c>
      <c r="Q160" s="181">
        <f>0.1*J160</f>
        <v>13561.8968</v>
      </c>
      <c r="R160" s="229"/>
    </row>
    <row r="161" spans="1:18">
      <c r="A161" s="257" t="s">
        <v>276</v>
      </c>
      <c r="B161" s="258" t="s">
        <v>268</v>
      </c>
      <c r="C161" s="259">
        <v>99254</v>
      </c>
      <c r="D161" s="246">
        <v>2162</v>
      </c>
      <c r="E161" s="246">
        <f>C161+D161</f>
        <v>101416</v>
      </c>
      <c r="F161" s="181">
        <f>IF(E161&gt;$L$5,$N$5*(E161-$L$5)+$N$4*($L$5-$L$4)+$N$3*($L$4-$L$1),IF($L$5&gt;E161&gt;$L$4,$N$4*(E161-$L$4)+$N$3*($L$4-$L$1),0))</f>
        <v>12804.192000000001</v>
      </c>
      <c r="G161" s="247">
        <f>E161*$G$10</f>
        <v>20891.696</v>
      </c>
      <c r="H161" s="247">
        <f>E161/100*0.5</f>
        <v>507.08</v>
      </c>
      <c r="I161" s="247">
        <f>F161+G161+H161</f>
        <v>34202.968</v>
      </c>
      <c r="J161" s="246">
        <f>E161+I161</f>
        <v>135618.968</v>
      </c>
      <c r="K161" s="181">
        <f>J161/$K$10</f>
        <v>11301.580666666667</v>
      </c>
      <c r="L161" s="181">
        <f>J161/$L$10</f>
        <v>616.44985454545451</v>
      </c>
      <c r="M161" s="181">
        <f>J161/$M$10</f>
        <v>3082.2492727272725</v>
      </c>
      <c r="N161" s="181">
        <f>J161/$N$10</f>
        <v>82.193313939393931</v>
      </c>
      <c r="P161" s="181">
        <f>0.1*C161</f>
        <v>9925.4000000000015</v>
      </c>
      <c r="Q161" s="181">
        <f>0.1*J161</f>
        <v>13561.8968</v>
      </c>
      <c r="R161" s="229"/>
    </row>
    <row r="162" spans="1:18">
      <c r="A162" s="257" t="s">
        <v>276</v>
      </c>
      <c r="B162" s="258" t="s">
        <v>269</v>
      </c>
      <c r="C162" s="259">
        <v>105042</v>
      </c>
      <c r="D162" s="246">
        <v>2162</v>
      </c>
      <c r="E162" s="246">
        <f>C162+D162</f>
        <v>107204</v>
      </c>
      <c r="F162" s="181">
        <f>IF(E162&gt;$L$5,$N$5*(E162-$L$5)+$N$4*($L$5-$L$4)+$N$3*($L$4-$L$1),IF($L$5&gt;E162&gt;$L$4,$N$4*(E162-$L$4)+$N$3*($L$4-$L$1),0))</f>
        <v>13602.936000000002</v>
      </c>
      <c r="G162" s="247">
        <f>E162*$G$10</f>
        <v>22084.023999999998</v>
      </c>
      <c r="H162" s="247">
        <f>E162/100*0.5</f>
        <v>536.02</v>
      </c>
      <c r="I162" s="247">
        <f>F162+G162+H162</f>
        <v>36222.979999999996</v>
      </c>
      <c r="J162" s="246">
        <f>E162+I162</f>
        <v>143426.97999999998</v>
      </c>
      <c r="K162" s="181">
        <f>J162/$K$10</f>
        <v>11952.248333333331</v>
      </c>
      <c r="L162" s="181">
        <f>J162/$L$10</f>
        <v>651.94081818181814</v>
      </c>
      <c r="M162" s="181">
        <f>J162/$M$10</f>
        <v>3259.7040909090906</v>
      </c>
      <c r="N162" s="181">
        <f>J162/$N$10</f>
        <v>86.925442424242419</v>
      </c>
      <c r="P162" s="181">
        <f>0.1*C162</f>
        <v>10504.2</v>
      </c>
      <c r="Q162" s="181">
        <f>0.1*J162</f>
        <v>14342.697999999999</v>
      </c>
      <c r="R162" s="229"/>
    </row>
    <row r="163" spans="1:18">
      <c r="A163" s="257"/>
      <c r="B163" s="258"/>
      <c r="C163" s="259"/>
      <c r="D163" s="246"/>
      <c r="E163" s="246"/>
      <c r="F163" s="181"/>
      <c r="G163" s="247"/>
      <c r="H163" s="247"/>
      <c r="I163" s="247"/>
      <c r="J163" s="246"/>
      <c r="K163" s="181"/>
      <c r="L163" s="181"/>
      <c r="M163" s="181"/>
      <c r="N163" s="181"/>
      <c r="P163" s="181"/>
      <c r="Q163" s="181"/>
      <c r="R163" s="229"/>
    </row>
    <row r="164" spans="1:18">
      <c r="A164" s="257"/>
      <c r="B164" s="258"/>
      <c r="C164" s="259"/>
      <c r="D164" s="246"/>
      <c r="E164" s="246"/>
      <c r="F164" s="181"/>
      <c r="G164" s="247"/>
      <c r="H164" s="247"/>
      <c r="I164" s="247"/>
      <c r="J164" s="246"/>
      <c r="K164" s="181"/>
      <c r="L164" s="181"/>
      <c r="M164" s="181"/>
      <c r="N164" s="181"/>
      <c r="P164" s="181"/>
      <c r="Q164" s="181"/>
      <c r="R164" s="229"/>
    </row>
    <row r="165" spans="1:18">
      <c r="A165" s="257" t="s">
        <v>277</v>
      </c>
      <c r="B165" s="258" t="s">
        <v>220</v>
      </c>
      <c r="C165" s="259">
        <v>87665</v>
      </c>
      <c r="D165" s="246">
        <v>2162</v>
      </c>
      <c r="E165" s="246">
        <f>C165+D165</f>
        <v>89827</v>
      </c>
      <c r="F165" s="181">
        <f>IF(E165&gt;$L$5,$N$5*(E165-$L$5)+$N$4*($L$5-$L$4)+$N$3*($L$4-$L$1),IF($L$5&gt;E165&gt;$L$4,$N$4*(E165-$L$4)+$N$3*($L$4-$L$1),0))</f>
        <v>11204.91</v>
      </c>
      <c r="G165" s="247">
        <f>E165*$G$10</f>
        <v>18504.361999999997</v>
      </c>
      <c r="H165" s="247">
        <f>E165/100*0.5</f>
        <v>449.135</v>
      </c>
      <c r="I165" s="247">
        <f>F165+G165+H165</f>
        <v>30158.406999999996</v>
      </c>
      <c r="J165" s="246">
        <f>E165+I165</f>
        <v>119985.40699999999</v>
      </c>
      <c r="K165" s="181">
        <f>J165/$K$10</f>
        <v>9998.7839166666654</v>
      </c>
      <c r="L165" s="181">
        <f>J165/$L$10</f>
        <v>545.38821363636362</v>
      </c>
      <c r="M165" s="181">
        <f>J165/$M$10</f>
        <v>2726.9410681818181</v>
      </c>
      <c r="N165" s="181">
        <f>J165/$N$10</f>
        <v>72.718428484848474</v>
      </c>
      <c r="P165" s="181">
        <f>0.1*C165</f>
        <v>8766.5</v>
      </c>
      <c r="Q165" s="181">
        <f>0.1*J165</f>
        <v>11998.5407</v>
      </c>
      <c r="R165" s="229"/>
    </row>
    <row r="166" spans="1:18">
      <c r="A166" s="257" t="s">
        <v>277</v>
      </c>
      <c r="B166" s="258" t="s">
        <v>221</v>
      </c>
      <c r="C166" s="259">
        <v>87665</v>
      </c>
      <c r="D166" s="246">
        <v>2162</v>
      </c>
      <c r="E166" s="246">
        <f>C166+D166</f>
        <v>89827</v>
      </c>
      <c r="F166" s="181">
        <f>IF(E166&gt;$L$5,$N$5*(E166-$L$5)+$N$4*($L$5-$L$4)+$N$3*($L$4-$L$1),IF($L$5&gt;E166&gt;$L$4,$N$4*(E166-$L$4)+$N$3*($L$4-$L$1),0))</f>
        <v>11204.91</v>
      </c>
      <c r="G166" s="247">
        <f>E166*$G$10</f>
        <v>18504.361999999997</v>
      </c>
      <c r="H166" s="247">
        <f>E166/100*0.5</f>
        <v>449.135</v>
      </c>
      <c r="I166" s="247">
        <f>F166+G166+H166</f>
        <v>30158.406999999996</v>
      </c>
      <c r="J166" s="246">
        <f>E166+I166</f>
        <v>119985.40699999999</v>
      </c>
      <c r="K166" s="181">
        <f>J166/$K$10</f>
        <v>9998.7839166666654</v>
      </c>
      <c r="L166" s="181">
        <f>J166/$L$10</f>
        <v>545.38821363636362</v>
      </c>
      <c r="M166" s="181">
        <f>J166/$M$10</f>
        <v>2726.9410681818181</v>
      </c>
      <c r="N166" s="181">
        <f>J166/$N$10</f>
        <v>72.718428484848474</v>
      </c>
      <c r="P166" s="181">
        <f>0.1*C166</f>
        <v>8766.5</v>
      </c>
      <c r="Q166" s="181">
        <f>0.1*J166</f>
        <v>11998.5407</v>
      </c>
      <c r="R166" s="229"/>
    </row>
    <row r="167" spans="1:18">
      <c r="A167" s="257" t="s">
        <v>277</v>
      </c>
      <c r="B167" s="258" t="s">
        <v>257</v>
      </c>
      <c r="C167" s="259">
        <v>87665</v>
      </c>
      <c r="D167" s="246">
        <v>2162</v>
      </c>
      <c r="E167" s="246">
        <f>C167+D167</f>
        <v>89827</v>
      </c>
      <c r="F167" s="181">
        <f>IF(E167&gt;$L$5,$N$5*(E167-$L$5)+$N$4*($L$5-$L$4)+$N$3*($L$4-$L$1),IF($L$5&gt;E167&gt;$L$4,$N$4*(E167-$L$4)+$N$3*($L$4-$L$1),0))</f>
        <v>11204.91</v>
      </c>
      <c r="G167" s="247">
        <f>E167*$G$10</f>
        <v>18504.361999999997</v>
      </c>
      <c r="H167" s="247">
        <f>E167/100*0.5</f>
        <v>449.135</v>
      </c>
      <c r="I167" s="247">
        <f>F167+G167+H167</f>
        <v>30158.406999999996</v>
      </c>
      <c r="J167" s="246">
        <f>E167+I167</f>
        <v>119985.40699999999</v>
      </c>
      <c r="K167" s="181">
        <f>J167/$K$10</f>
        <v>9998.7839166666654</v>
      </c>
      <c r="L167" s="181">
        <f>J167/$L$10</f>
        <v>545.38821363636362</v>
      </c>
      <c r="M167" s="181">
        <f>J167/$M$10</f>
        <v>2726.9410681818181</v>
      </c>
      <c r="N167" s="181">
        <f>J167/$N$10</f>
        <v>72.718428484848474</v>
      </c>
      <c r="P167" s="181">
        <f>0.1*C167</f>
        <v>8766.5</v>
      </c>
      <c r="Q167" s="181">
        <f>0.1*J167</f>
        <v>11998.5407</v>
      </c>
      <c r="R167" s="229"/>
    </row>
    <row r="168" spans="1:18">
      <c r="A168" s="257" t="s">
        <v>277</v>
      </c>
      <c r="B168" s="258" t="s">
        <v>258</v>
      </c>
      <c r="C168" s="259">
        <v>87665</v>
      </c>
      <c r="D168" s="246">
        <v>2162</v>
      </c>
      <c r="E168" s="246">
        <f>C168+D168</f>
        <v>89827</v>
      </c>
      <c r="F168" s="181">
        <f>IF(E168&gt;$L$5,$N$5*(E168-$L$5)+$N$4*($L$5-$L$4)+$N$3*($L$4-$L$1),IF($L$5&gt;E168&gt;$L$4,$N$4*(E168-$L$4)+$N$3*($L$4-$L$1),0))</f>
        <v>11204.91</v>
      </c>
      <c r="G168" s="247">
        <f>E168*$G$10</f>
        <v>18504.361999999997</v>
      </c>
      <c r="H168" s="247">
        <f>E168/100*0.5</f>
        <v>449.135</v>
      </c>
      <c r="I168" s="247">
        <f>F168+G168+H168</f>
        <v>30158.406999999996</v>
      </c>
      <c r="J168" s="246">
        <f>E168+I168</f>
        <v>119985.40699999999</v>
      </c>
      <c r="K168" s="181">
        <f>J168/$K$10</f>
        <v>9998.7839166666654</v>
      </c>
      <c r="L168" s="181">
        <f>J168/$L$10</f>
        <v>545.38821363636362</v>
      </c>
      <c r="M168" s="181">
        <f>J168/$M$10</f>
        <v>2726.9410681818181</v>
      </c>
      <c r="N168" s="181">
        <f>J168/$N$10</f>
        <v>72.718428484848474</v>
      </c>
      <c r="P168" s="181">
        <f>0.1*C168</f>
        <v>8766.5</v>
      </c>
      <c r="Q168" s="181">
        <f>0.1*J168</f>
        <v>11998.5407</v>
      </c>
      <c r="R168" s="229"/>
    </row>
    <row r="169" spans="1:18">
      <c r="A169" s="257" t="s">
        <v>277</v>
      </c>
      <c r="B169" s="258" t="s">
        <v>259</v>
      </c>
      <c r="C169" s="259">
        <v>93459</v>
      </c>
      <c r="D169" s="246">
        <v>2162</v>
      </c>
      <c r="E169" s="246">
        <f>C169+D169</f>
        <v>95621</v>
      </c>
      <c r="F169" s="181">
        <f>IF(E169&gt;$L$5,$N$5*(E169-$L$5)+$N$4*($L$5-$L$4)+$N$3*($L$4-$L$1),IF($L$5&gt;E169&gt;$L$4,$N$4*(E169-$L$4)+$N$3*($L$4-$L$1),0))</f>
        <v>12004.482</v>
      </c>
      <c r="G169" s="247">
        <f>E169*$G$10</f>
        <v>19697.926</v>
      </c>
      <c r="H169" s="247">
        <f>E169/100*0.5</f>
        <v>478.105</v>
      </c>
      <c r="I169" s="247">
        <f>F169+G169+H169</f>
        <v>32180.513</v>
      </c>
      <c r="J169" s="246">
        <f>E169+I169</f>
        <v>127801.513</v>
      </c>
      <c r="K169" s="181">
        <f>J169/$K$10</f>
        <v>10650.126083333334</v>
      </c>
      <c r="L169" s="181">
        <f>J169/$L$10</f>
        <v>580.91596818181824</v>
      </c>
      <c r="M169" s="181">
        <f>J169/$M$10</f>
        <v>2904.5798409090912</v>
      </c>
      <c r="N169" s="181">
        <f>J169/$N$10</f>
        <v>77.455462424242427</v>
      </c>
      <c r="P169" s="181">
        <f>0.1*C169</f>
        <v>9345.9</v>
      </c>
      <c r="Q169" s="181">
        <f>0.1*J169</f>
        <v>12780.151300000001</v>
      </c>
      <c r="R169" s="229"/>
    </row>
    <row r="170" spans="1:18">
      <c r="A170" s="257" t="s">
        <v>277</v>
      </c>
      <c r="B170" s="258" t="s">
        <v>260</v>
      </c>
      <c r="C170" s="259">
        <v>93459</v>
      </c>
      <c r="D170" s="246">
        <v>2162</v>
      </c>
      <c r="E170" s="246">
        <f>C170+D170</f>
        <v>95621</v>
      </c>
      <c r="F170" s="181">
        <f>IF(E170&gt;$L$5,$N$5*(E170-$L$5)+$N$4*($L$5-$L$4)+$N$3*($L$4-$L$1),IF($L$5&gt;E170&gt;$L$4,$N$4*(E170-$L$4)+$N$3*($L$4-$L$1),0))</f>
        <v>12004.482</v>
      </c>
      <c r="G170" s="247">
        <f>E170*$G$10</f>
        <v>19697.926</v>
      </c>
      <c r="H170" s="247">
        <f>E170/100*0.5</f>
        <v>478.105</v>
      </c>
      <c r="I170" s="247">
        <f>F170+G170+H170</f>
        <v>32180.513</v>
      </c>
      <c r="J170" s="246">
        <f>E170+I170</f>
        <v>127801.513</v>
      </c>
      <c r="K170" s="181">
        <f>J170/$K$10</f>
        <v>10650.126083333334</v>
      </c>
      <c r="L170" s="181">
        <f>J170/$L$10</f>
        <v>580.91596818181824</v>
      </c>
      <c r="M170" s="181">
        <f>J170/$M$10</f>
        <v>2904.5798409090912</v>
      </c>
      <c r="N170" s="181">
        <f>J170/$N$10</f>
        <v>77.455462424242427</v>
      </c>
      <c r="P170" s="181">
        <f>0.1*C170</f>
        <v>9345.9</v>
      </c>
      <c r="Q170" s="181">
        <f>0.1*J170</f>
        <v>12780.151300000001</v>
      </c>
      <c r="R170" s="229"/>
    </row>
    <row r="171" spans="1:18">
      <c r="A171" s="257" t="s">
        <v>277</v>
      </c>
      <c r="B171" s="258" t="s">
        <v>261</v>
      </c>
      <c r="C171" s="259">
        <v>93459</v>
      </c>
      <c r="D171" s="246">
        <v>2162</v>
      </c>
      <c r="E171" s="246">
        <f>C171+D171</f>
        <v>95621</v>
      </c>
      <c r="F171" s="181">
        <f>IF(E171&gt;$L$5,$N$5*(E171-$L$5)+$N$4*($L$5-$L$4)+$N$3*($L$4-$L$1),IF($L$5&gt;E171&gt;$L$4,$N$4*(E171-$L$4)+$N$3*($L$4-$L$1),0))</f>
        <v>12004.482</v>
      </c>
      <c r="G171" s="247">
        <f>E171*$G$10</f>
        <v>19697.926</v>
      </c>
      <c r="H171" s="247">
        <f>E171/100*0.5</f>
        <v>478.105</v>
      </c>
      <c r="I171" s="247">
        <f>F171+G171+H171</f>
        <v>32180.513</v>
      </c>
      <c r="J171" s="246">
        <f>E171+I171</f>
        <v>127801.513</v>
      </c>
      <c r="K171" s="181">
        <f>J171/$K$10</f>
        <v>10650.126083333334</v>
      </c>
      <c r="L171" s="181">
        <f>J171/$L$10</f>
        <v>580.91596818181824</v>
      </c>
      <c r="M171" s="181">
        <f>J171/$M$10</f>
        <v>2904.5798409090912</v>
      </c>
      <c r="N171" s="181">
        <f>J171/$N$10</f>
        <v>77.455462424242427</v>
      </c>
      <c r="P171" s="181">
        <f>0.1*C171</f>
        <v>9345.9</v>
      </c>
      <c r="Q171" s="181">
        <f>0.1*J171</f>
        <v>12780.151300000001</v>
      </c>
      <c r="R171" s="229"/>
    </row>
    <row r="172" spans="1:18">
      <c r="A172" s="257" t="s">
        <v>277</v>
      </c>
      <c r="B172" s="258" t="s">
        <v>262</v>
      </c>
      <c r="C172" s="259">
        <v>93459</v>
      </c>
      <c r="D172" s="246">
        <v>2162</v>
      </c>
      <c r="E172" s="246">
        <f>C172+D172</f>
        <v>95621</v>
      </c>
      <c r="F172" s="181">
        <f>IF(E172&gt;$L$5,$N$5*(E172-$L$5)+$N$4*($L$5-$L$4)+$N$3*($L$4-$L$1),IF($L$5&gt;E172&gt;$L$4,$N$4*(E172-$L$4)+$N$3*($L$4-$L$1),0))</f>
        <v>12004.482</v>
      </c>
      <c r="G172" s="247">
        <f>E172*$G$10</f>
        <v>19697.926</v>
      </c>
      <c r="H172" s="247">
        <f>E172/100*0.5</f>
        <v>478.105</v>
      </c>
      <c r="I172" s="247">
        <f>F172+G172+H172</f>
        <v>32180.513</v>
      </c>
      <c r="J172" s="246">
        <f>E172+I172</f>
        <v>127801.513</v>
      </c>
      <c r="K172" s="181">
        <f>J172/$K$10</f>
        <v>10650.126083333334</v>
      </c>
      <c r="L172" s="181">
        <f>J172/$L$10</f>
        <v>580.91596818181824</v>
      </c>
      <c r="M172" s="181">
        <f>J172/$M$10</f>
        <v>2904.5798409090912</v>
      </c>
      <c r="N172" s="181">
        <f>J172/$N$10</f>
        <v>77.455462424242427</v>
      </c>
      <c r="P172" s="181">
        <f>0.1*C172</f>
        <v>9345.9</v>
      </c>
      <c r="Q172" s="181">
        <f>0.1*J172</f>
        <v>12780.151300000001</v>
      </c>
      <c r="R172" s="229"/>
    </row>
    <row r="173" spans="1:18">
      <c r="A173" s="257" t="s">
        <v>277</v>
      </c>
      <c r="B173" s="258" t="s">
        <v>264</v>
      </c>
      <c r="C173" s="259">
        <v>99254</v>
      </c>
      <c r="D173" s="246">
        <v>2162</v>
      </c>
      <c r="E173" s="246">
        <f>C173+D173</f>
        <v>101416</v>
      </c>
      <c r="F173" s="181">
        <f>IF(E173&gt;$L$5,$N$5*(E173-$L$5)+$N$4*($L$5-$L$4)+$N$3*($L$4-$L$1),IF($L$5&gt;E173&gt;$L$4,$N$4*(E173-$L$4)+$N$3*($L$4-$L$1),0))</f>
        <v>12804.192000000001</v>
      </c>
      <c r="G173" s="247">
        <f>E173*$G$10</f>
        <v>20891.696</v>
      </c>
      <c r="H173" s="247">
        <f>E173/100*0.5</f>
        <v>507.08</v>
      </c>
      <c r="I173" s="247">
        <f>F173+G173+H173</f>
        <v>34202.968</v>
      </c>
      <c r="J173" s="246">
        <f>E173+I173</f>
        <v>135618.968</v>
      </c>
      <c r="K173" s="181">
        <f>J173/$K$10</f>
        <v>11301.580666666667</v>
      </c>
      <c r="L173" s="181">
        <f>J173/$L$10</f>
        <v>616.44985454545451</v>
      </c>
      <c r="M173" s="181">
        <f>J173/$M$10</f>
        <v>3082.2492727272725</v>
      </c>
      <c r="N173" s="181">
        <f>J173/$N$10</f>
        <v>82.193313939393931</v>
      </c>
      <c r="P173" s="181">
        <f>0.1*C173</f>
        <v>9925.4000000000015</v>
      </c>
      <c r="Q173" s="181">
        <f>0.1*J173</f>
        <v>13561.8968</v>
      </c>
      <c r="R173" s="229"/>
    </row>
    <row r="174" spans="1:18">
      <c r="A174" s="257" t="s">
        <v>277</v>
      </c>
      <c r="B174" s="258" t="s">
        <v>265</v>
      </c>
      <c r="C174" s="259">
        <v>99254</v>
      </c>
      <c r="D174" s="246">
        <v>2162</v>
      </c>
      <c r="E174" s="246">
        <f>C174+D174</f>
        <v>101416</v>
      </c>
      <c r="F174" s="181">
        <f>IF(E174&gt;$L$5,$N$5*(E174-$L$5)+$N$4*($L$5-$L$4)+$N$3*($L$4-$L$1),IF($L$5&gt;E174&gt;$L$4,$N$4*(E174-$L$4)+$N$3*($L$4-$L$1),0))</f>
        <v>12804.192000000001</v>
      </c>
      <c r="G174" s="247">
        <f>E174*$G$10</f>
        <v>20891.696</v>
      </c>
      <c r="H174" s="247">
        <f>E174/100*0.5</f>
        <v>507.08</v>
      </c>
      <c r="I174" s="247">
        <f>F174+G174+H174</f>
        <v>34202.968</v>
      </c>
      <c r="J174" s="246">
        <f>E174+I174</f>
        <v>135618.968</v>
      </c>
      <c r="K174" s="181">
        <f>J174/$K$10</f>
        <v>11301.580666666667</v>
      </c>
      <c r="L174" s="181">
        <f>J174/$L$10</f>
        <v>616.44985454545451</v>
      </c>
      <c r="M174" s="181">
        <f>J174/$M$10</f>
        <v>3082.2492727272725</v>
      </c>
      <c r="N174" s="181">
        <f>J174/$N$10</f>
        <v>82.193313939393931</v>
      </c>
      <c r="P174" s="181">
        <f>0.1*C174</f>
        <v>9925.4000000000015</v>
      </c>
      <c r="Q174" s="181">
        <f>0.1*J174</f>
        <v>13561.8968</v>
      </c>
      <c r="R174" s="229"/>
    </row>
    <row r="175" spans="1:18">
      <c r="A175" s="257" t="s">
        <v>277</v>
      </c>
      <c r="B175" s="258" t="s">
        <v>266</v>
      </c>
      <c r="C175" s="259">
        <v>99254</v>
      </c>
      <c r="D175" s="246">
        <v>2162</v>
      </c>
      <c r="E175" s="246">
        <f>C175+D175</f>
        <v>101416</v>
      </c>
      <c r="F175" s="181">
        <f>IF(E175&gt;$L$5,$N$5*(E175-$L$5)+$N$4*($L$5-$L$4)+$N$3*($L$4-$L$1),IF($L$5&gt;E175&gt;$L$4,$N$4*(E175-$L$4)+$N$3*($L$4-$L$1),0))</f>
        <v>12804.192000000001</v>
      </c>
      <c r="G175" s="247">
        <f>E175*$G$10</f>
        <v>20891.696</v>
      </c>
      <c r="H175" s="247">
        <f>E175/100*0.5</f>
        <v>507.08</v>
      </c>
      <c r="I175" s="247">
        <f>F175+G175+H175</f>
        <v>34202.968</v>
      </c>
      <c r="J175" s="246">
        <f>E175+I175</f>
        <v>135618.968</v>
      </c>
      <c r="K175" s="181">
        <f>J175/$K$10</f>
        <v>11301.580666666667</v>
      </c>
      <c r="L175" s="181">
        <f>J175/$L$10</f>
        <v>616.44985454545451</v>
      </c>
      <c r="M175" s="181">
        <f>J175/$M$10</f>
        <v>3082.2492727272725</v>
      </c>
      <c r="N175" s="181">
        <f>J175/$N$10</f>
        <v>82.193313939393931</v>
      </c>
      <c r="P175" s="181">
        <f>0.1*C175</f>
        <v>9925.4000000000015</v>
      </c>
      <c r="Q175" s="181">
        <f>0.1*J175</f>
        <v>13561.8968</v>
      </c>
      <c r="R175" s="229"/>
    </row>
    <row r="176" spans="1:18">
      <c r="A176" s="257" t="s">
        <v>277</v>
      </c>
      <c r="B176" s="258" t="s">
        <v>267</v>
      </c>
      <c r="C176" s="259">
        <v>99254</v>
      </c>
      <c r="D176" s="246">
        <v>2162</v>
      </c>
      <c r="E176" s="246">
        <f>C176+D176</f>
        <v>101416</v>
      </c>
      <c r="F176" s="181">
        <f>IF(E176&gt;$L$5,$N$5*(E176-$L$5)+$N$4*($L$5-$L$4)+$N$3*($L$4-$L$1),IF($L$5&gt;E176&gt;$L$4,$N$4*(E176-$L$4)+$N$3*($L$4-$L$1),0))</f>
        <v>12804.192000000001</v>
      </c>
      <c r="G176" s="247">
        <f>E176*$G$10</f>
        <v>20891.696</v>
      </c>
      <c r="H176" s="247">
        <f>E176/100*0.5</f>
        <v>507.08</v>
      </c>
      <c r="I176" s="247">
        <f>F176+G176+H176</f>
        <v>34202.968</v>
      </c>
      <c r="J176" s="246">
        <f>E176+I176</f>
        <v>135618.968</v>
      </c>
      <c r="K176" s="181">
        <f>J176/$K$10</f>
        <v>11301.580666666667</v>
      </c>
      <c r="L176" s="181">
        <f>J176/$L$10</f>
        <v>616.44985454545451</v>
      </c>
      <c r="M176" s="181">
        <f>J176/$M$10</f>
        <v>3082.2492727272725</v>
      </c>
      <c r="N176" s="181">
        <f>J176/$N$10</f>
        <v>82.193313939393931</v>
      </c>
      <c r="P176" s="181">
        <f>0.1*C176</f>
        <v>9925.4000000000015</v>
      </c>
      <c r="Q176" s="181">
        <f>0.1*J176</f>
        <v>13561.8968</v>
      </c>
      <c r="R176" s="229"/>
    </row>
    <row r="177" spans="1:18">
      <c r="A177" s="257" t="s">
        <v>277</v>
      </c>
      <c r="B177" s="258" t="s">
        <v>268</v>
      </c>
      <c r="C177" s="259">
        <v>99254</v>
      </c>
      <c r="D177" s="246">
        <v>2162</v>
      </c>
      <c r="E177" s="246">
        <f>C177+D177</f>
        <v>101416</v>
      </c>
      <c r="F177" s="181">
        <f>IF(E177&gt;$L$5,$N$5*(E177-$L$5)+$N$4*($L$5-$L$4)+$N$3*($L$4-$L$1),IF($L$5&gt;E177&gt;$L$4,$N$4*(E177-$L$4)+$N$3*($L$4-$L$1),0))</f>
        <v>12804.192000000001</v>
      </c>
      <c r="G177" s="247">
        <f>E177*$G$10</f>
        <v>20891.696</v>
      </c>
      <c r="H177" s="247">
        <f>E177/100*0.5</f>
        <v>507.08</v>
      </c>
      <c r="I177" s="247">
        <f>F177+G177+H177</f>
        <v>34202.968</v>
      </c>
      <c r="J177" s="246">
        <f>E177+I177</f>
        <v>135618.968</v>
      </c>
      <c r="K177" s="181">
        <f>J177/$K$10</f>
        <v>11301.580666666667</v>
      </c>
      <c r="L177" s="181">
        <f>J177/$L$10</f>
        <v>616.44985454545451</v>
      </c>
      <c r="M177" s="181">
        <f>J177/$M$10</f>
        <v>3082.2492727272725</v>
      </c>
      <c r="N177" s="181">
        <f>J177/$N$10</f>
        <v>82.193313939393931</v>
      </c>
      <c r="P177" s="181">
        <f>0.1*C177</f>
        <v>9925.4000000000015</v>
      </c>
      <c r="Q177" s="181">
        <f>0.1*J177</f>
        <v>13561.8968</v>
      </c>
      <c r="R177" s="229"/>
    </row>
    <row r="178" spans="1:18">
      <c r="A178" s="257" t="s">
        <v>277</v>
      </c>
      <c r="B178" s="258" t="s">
        <v>269</v>
      </c>
      <c r="C178" s="259">
        <v>105042</v>
      </c>
      <c r="D178" s="246">
        <v>2162</v>
      </c>
      <c r="E178" s="246">
        <f>C178+D178</f>
        <v>107204</v>
      </c>
      <c r="F178" s="181">
        <f>IF(E178&gt;$L$5,$N$5*(E178-$L$5)+$N$4*($L$5-$L$4)+$N$3*($L$4-$L$1),IF($L$5&gt;E178&gt;$L$4,$N$4*(E178-$L$4)+$N$3*($L$4-$L$1),0))</f>
        <v>13602.936000000002</v>
      </c>
      <c r="G178" s="247">
        <f>E178*$G$10</f>
        <v>22084.023999999998</v>
      </c>
      <c r="H178" s="247">
        <f>E178/100*0.5</f>
        <v>536.02</v>
      </c>
      <c r="I178" s="247">
        <f>F178+G178+H178</f>
        <v>36222.979999999996</v>
      </c>
      <c r="J178" s="246">
        <f>E178+I178</f>
        <v>143426.97999999998</v>
      </c>
      <c r="K178" s="181">
        <f>J178/$K$10</f>
        <v>11952.248333333331</v>
      </c>
      <c r="L178" s="181">
        <f>J178/$L$10</f>
        <v>651.94081818181814</v>
      </c>
      <c r="M178" s="181">
        <f>J178/$M$10</f>
        <v>3259.7040909090906</v>
      </c>
      <c r="N178" s="181">
        <f>J178/$N$10</f>
        <v>86.925442424242419</v>
      </c>
      <c r="P178" s="181">
        <f>0.1*C178</f>
        <v>10504.2</v>
      </c>
      <c r="Q178" s="181">
        <f>0.1*J178</f>
        <v>14342.697999999999</v>
      </c>
      <c r="R178" s="229"/>
    </row>
    <row r="179" spans="1:18">
      <c r="A179" s="257"/>
      <c r="B179" s="258"/>
      <c r="C179" s="259"/>
      <c r="D179" s="246"/>
      <c r="E179" s="246"/>
      <c r="F179" s="181"/>
      <c r="G179" s="247"/>
      <c r="H179" s="247"/>
      <c r="I179" s="247"/>
      <c r="J179" s="246"/>
      <c r="K179" s="181"/>
      <c r="L179" s="181"/>
      <c r="M179" s="181"/>
      <c r="N179" s="181"/>
      <c r="P179" s="181"/>
      <c r="Q179" s="181"/>
      <c r="R179" s="229"/>
    </row>
    <row r="180" spans="1:18">
      <c r="A180" s="257"/>
      <c r="B180" s="258"/>
      <c r="C180" s="259"/>
      <c r="D180" s="246"/>
      <c r="E180" s="246"/>
      <c r="F180" s="181"/>
      <c r="G180" s="247"/>
      <c r="H180" s="247"/>
      <c r="I180" s="247"/>
      <c r="J180" s="246"/>
      <c r="K180" s="181"/>
      <c r="L180" s="181"/>
      <c r="M180" s="181"/>
      <c r="N180" s="181"/>
      <c r="P180" s="181"/>
      <c r="Q180" s="181"/>
      <c r="R180" s="229"/>
    </row>
    <row r="181" spans="1:18">
      <c r="A181" s="257" t="s">
        <v>278</v>
      </c>
      <c r="B181" s="258" t="s">
        <v>220</v>
      </c>
      <c r="C181" s="259">
        <v>87665</v>
      </c>
      <c r="D181" s="246">
        <v>2162</v>
      </c>
      <c r="E181" s="246">
        <f>C181+D181</f>
        <v>89827</v>
      </c>
      <c r="F181" s="181">
        <f>IF(E181&gt;$L$5,$N$5*(E181-$L$5)+$N$4*($L$5-$L$4)+$N$3*($L$4-$L$1),IF($L$5&gt;E181&gt;$L$4,$N$4*(E181-$L$4)+$N$3*($L$4-$L$1),0))</f>
        <v>11204.91</v>
      </c>
      <c r="G181" s="247">
        <f>E181*$G$10</f>
        <v>18504.361999999997</v>
      </c>
      <c r="H181" s="247">
        <f>E181/100*0.5</f>
        <v>449.135</v>
      </c>
      <c r="I181" s="247">
        <f>F181+G181+H181</f>
        <v>30158.406999999996</v>
      </c>
      <c r="J181" s="246">
        <f>E181+I181</f>
        <v>119985.40699999999</v>
      </c>
      <c r="K181" s="181">
        <f>J181/$K$10</f>
        <v>9998.7839166666654</v>
      </c>
      <c r="L181" s="181">
        <f>J181/$L$10</f>
        <v>545.38821363636362</v>
      </c>
      <c r="M181" s="181">
        <f>J181/$M$10</f>
        <v>2726.9410681818181</v>
      </c>
      <c r="N181" s="181">
        <f>J181/$N$10</f>
        <v>72.718428484848474</v>
      </c>
      <c r="P181" s="181">
        <f>0.1*C181</f>
        <v>8766.5</v>
      </c>
      <c r="Q181" s="181">
        <f>0.1*J181</f>
        <v>11998.5407</v>
      </c>
      <c r="R181" s="229"/>
    </row>
    <row r="182" spans="1:18">
      <c r="A182" s="257" t="s">
        <v>278</v>
      </c>
      <c r="B182" s="258" t="s">
        <v>221</v>
      </c>
      <c r="C182" s="259">
        <v>87665</v>
      </c>
      <c r="D182" s="246">
        <v>2162</v>
      </c>
      <c r="E182" s="246">
        <f>C182+D182</f>
        <v>89827</v>
      </c>
      <c r="F182" s="181">
        <f>IF(E182&gt;$L$5,$N$5*(E182-$L$5)+$N$4*($L$5-$L$4)+$N$3*($L$4-$L$1),IF($L$5&gt;E182&gt;$L$4,$N$4*(E182-$L$4)+$N$3*($L$4-$L$1),0))</f>
        <v>11204.91</v>
      </c>
      <c r="G182" s="247">
        <f>E182*$G$10</f>
        <v>18504.361999999997</v>
      </c>
      <c r="H182" s="247">
        <f>E182/100*0.5</f>
        <v>449.135</v>
      </c>
      <c r="I182" s="247">
        <f>F182+G182+H182</f>
        <v>30158.406999999996</v>
      </c>
      <c r="J182" s="246">
        <f>E182+I182</f>
        <v>119985.40699999999</v>
      </c>
      <c r="K182" s="181">
        <f>J182/$K$10</f>
        <v>9998.7839166666654</v>
      </c>
      <c r="L182" s="181">
        <f>J182/$L$10</f>
        <v>545.38821363636362</v>
      </c>
      <c r="M182" s="181">
        <f>J182/$M$10</f>
        <v>2726.9410681818181</v>
      </c>
      <c r="N182" s="181">
        <f>J182/$N$10</f>
        <v>72.718428484848474</v>
      </c>
      <c r="P182" s="181">
        <f>0.1*C182</f>
        <v>8766.5</v>
      </c>
      <c r="Q182" s="181">
        <f>0.1*J182</f>
        <v>11998.5407</v>
      </c>
      <c r="R182" s="229"/>
    </row>
    <row r="183" spans="1:18">
      <c r="A183" s="257" t="s">
        <v>278</v>
      </c>
      <c r="B183" s="258" t="s">
        <v>257</v>
      </c>
      <c r="C183" s="259">
        <v>87665</v>
      </c>
      <c r="D183" s="246">
        <v>2162</v>
      </c>
      <c r="E183" s="246">
        <f>C183+D183</f>
        <v>89827</v>
      </c>
      <c r="F183" s="181">
        <f>IF(E183&gt;$L$5,$N$5*(E183-$L$5)+$N$4*($L$5-$L$4)+$N$3*($L$4-$L$1),IF($L$5&gt;E183&gt;$L$4,$N$4*(E183-$L$4)+$N$3*($L$4-$L$1),0))</f>
        <v>11204.91</v>
      </c>
      <c r="G183" s="247">
        <f>E183*$G$10</f>
        <v>18504.361999999997</v>
      </c>
      <c r="H183" s="247">
        <f>E183/100*0.5</f>
        <v>449.135</v>
      </c>
      <c r="I183" s="247">
        <f>F183+G183+H183</f>
        <v>30158.406999999996</v>
      </c>
      <c r="J183" s="246">
        <f>E183+I183</f>
        <v>119985.40699999999</v>
      </c>
      <c r="K183" s="181">
        <f>J183/$K$10</f>
        <v>9998.7839166666654</v>
      </c>
      <c r="L183" s="181">
        <f>J183/$L$10</f>
        <v>545.38821363636362</v>
      </c>
      <c r="M183" s="181">
        <f>J183/$M$10</f>
        <v>2726.9410681818181</v>
      </c>
      <c r="N183" s="181">
        <f>J183/$N$10</f>
        <v>72.718428484848474</v>
      </c>
      <c r="P183" s="181">
        <f>0.1*C183</f>
        <v>8766.5</v>
      </c>
      <c r="Q183" s="181">
        <f>0.1*J183</f>
        <v>11998.5407</v>
      </c>
      <c r="R183" s="229"/>
    </row>
    <row r="184" spans="1:18">
      <c r="A184" s="257" t="s">
        <v>278</v>
      </c>
      <c r="B184" s="258" t="s">
        <v>258</v>
      </c>
      <c r="C184" s="259">
        <v>87665</v>
      </c>
      <c r="D184" s="246">
        <v>2162</v>
      </c>
      <c r="E184" s="246">
        <f>C184+D184</f>
        <v>89827</v>
      </c>
      <c r="F184" s="181">
        <f>IF(E184&gt;$L$5,$N$5*(E184-$L$5)+$N$4*($L$5-$L$4)+$N$3*($L$4-$L$1),IF($L$5&gt;E184&gt;$L$4,$N$4*(E184-$L$4)+$N$3*($L$4-$L$1),0))</f>
        <v>11204.91</v>
      </c>
      <c r="G184" s="247">
        <f>E184*$G$10</f>
        <v>18504.361999999997</v>
      </c>
      <c r="H184" s="247">
        <f>E184/100*0.5</f>
        <v>449.135</v>
      </c>
      <c r="I184" s="247">
        <f>F184+G184+H184</f>
        <v>30158.406999999996</v>
      </c>
      <c r="J184" s="246">
        <f>E184+I184</f>
        <v>119985.40699999999</v>
      </c>
      <c r="K184" s="181">
        <f>J184/$K$10</f>
        <v>9998.7839166666654</v>
      </c>
      <c r="L184" s="181">
        <f>J184/$L$10</f>
        <v>545.38821363636362</v>
      </c>
      <c r="M184" s="181">
        <f>J184/$M$10</f>
        <v>2726.9410681818181</v>
      </c>
      <c r="N184" s="181">
        <f>J184/$N$10</f>
        <v>72.718428484848474</v>
      </c>
      <c r="P184" s="181">
        <f>0.1*C184</f>
        <v>8766.5</v>
      </c>
      <c r="Q184" s="181">
        <f>0.1*J184</f>
        <v>11998.5407</v>
      </c>
      <c r="R184" s="229"/>
    </row>
    <row r="185" spans="1:18">
      <c r="A185" s="257" t="s">
        <v>278</v>
      </c>
      <c r="B185" s="258" t="s">
        <v>259</v>
      </c>
      <c r="C185" s="259">
        <v>93459</v>
      </c>
      <c r="D185" s="246">
        <v>2162</v>
      </c>
      <c r="E185" s="246">
        <f>C185+D185</f>
        <v>95621</v>
      </c>
      <c r="F185" s="181">
        <f>IF(E185&gt;$L$5,$N$5*(E185-$L$5)+$N$4*($L$5-$L$4)+$N$3*($L$4-$L$1),IF($L$5&gt;E185&gt;$L$4,$N$4*(E185-$L$4)+$N$3*($L$4-$L$1),0))</f>
        <v>12004.482</v>
      </c>
      <c r="G185" s="247">
        <f>E185*$G$10</f>
        <v>19697.926</v>
      </c>
      <c r="H185" s="247">
        <f>E185/100*0.5</f>
        <v>478.105</v>
      </c>
      <c r="I185" s="247">
        <f>F185+G185+H185</f>
        <v>32180.513</v>
      </c>
      <c r="J185" s="246">
        <f>E185+I185</f>
        <v>127801.513</v>
      </c>
      <c r="K185" s="181">
        <f>J185/$K$10</f>
        <v>10650.126083333334</v>
      </c>
      <c r="L185" s="181">
        <f>J185/$L$10</f>
        <v>580.91596818181824</v>
      </c>
      <c r="M185" s="181">
        <f>J185/$M$10</f>
        <v>2904.5798409090912</v>
      </c>
      <c r="N185" s="181">
        <f>J185/$N$10</f>
        <v>77.455462424242427</v>
      </c>
      <c r="P185" s="181">
        <f>0.1*C185</f>
        <v>9345.9</v>
      </c>
      <c r="Q185" s="181">
        <f>0.1*J185</f>
        <v>12780.151300000001</v>
      </c>
      <c r="R185" s="229"/>
    </row>
    <row r="186" spans="1:18">
      <c r="A186" s="257" t="s">
        <v>278</v>
      </c>
      <c r="B186" s="258" t="s">
        <v>260</v>
      </c>
      <c r="C186" s="259">
        <v>93459</v>
      </c>
      <c r="D186" s="246">
        <v>2162</v>
      </c>
      <c r="E186" s="246">
        <f>C186+D186</f>
        <v>95621</v>
      </c>
      <c r="F186" s="181">
        <f>IF(E186&gt;$L$5,$N$5*(E186-$L$5)+$N$4*($L$5-$L$4)+$N$3*($L$4-$L$1),IF($L$5&gt;E186&gt;$L$4,$N$4*(E186-$L$4)+$N$3*($L$4-$L$1),0))</f>
        <v>12004.482</v>
      </c>
      <c r="G186" s="247">
        <f>E186*$G$10</f>
        <v>19697.926</v>
      </c>
      <c r="H186" s="247">
        <f>E186/100*0.5</f>
        <v>478.105</v>
      </c>
      <c r="I186" s="247">
        <f>F186+G186+H186</f>
        <v>32180.513</v>
      </c>
      <c r="J186" s="246">
        <f>E186+I186</f>
        <v>127801.513</v>
      </c>
      <c r="K186" s="181">
        <f>J186/$K$10</f>
        <v>10650.126083333334</v>
      </c>
      <c r="L186" s="181">
        <f>J186/$L$10</f>
        <v>580.91596818181824</v>
      </c>
      <c r="M186" s="181">
        <f>J186/$M$10</f>
        <v>2904.5798409090912</v>
      </c>
      <c r="N186" s="181">
        <f>J186/$N$10</f>
        <v>77.455462424242427</v>
      </c>
      <c r="P186" s="181">
        <f>0.1*C186</f>
        <v>9345.9</v>
      </c>
      <c r="Q186" s="181">
        <f>0.1*J186</f>
        <v>12780.151300000001</v>
      </c>
      <c r="R186" s="229"/>
    </row>
    <row r="187" spans="1:18">
      <c r="A187" s="257" t="s">
        <v>278</v>
      </c>
      <c r="B187" s="258" t="s">
        <v>261</v>
      </c>
      <c r="C187" s="259">
        <v>93459</v>
      </c>
      <c r="D187" s="246">
        <v>2162</v>
      </c>
      <c r="E187" s="246">
        <f>C187+D187</f>
        <v>95621</v>
      </c>
      <c r="F187" s="181">
        <f>IF(E187&gt;$L$5,$N$5*(E187-$L$5)+$N$4*($L$5-$L$4)+$N$3*($L$4-$L$1),IF($L$5&gt;E187&gt;$L$4,$N$4*(E187-$L$4)+$N$3*($L$4-$L$1),0))</f>
        <v>12004.482</v>
      </c>
      <c r="G187" s="247">
        <f>E187*$G$10</f>
        <v>19697.926</v>
      </c>
      <c r="H187" s="247">
        <f>E187/100*0.5</f>
        <v>478.105</v>
      </c>
      <c r="I187" s="247">
        <f>F187+G187+H187</f>
        <v>32180.513</v>
      </c>
      <c r="J187" s="246">
        <f>E187+I187</f>
        <v>127801.513</v>
      </c>
      <c r="K187" s="181">
        <f>J187/$K$10</f>
        <v>10650.126083333334</v>
      </c>
      <c r="L187" s="181">
        <f>J187/$L$10</f>
        <v>580.91596818181824</v>
      </c>
      <c r="M187" s="181">
        <f>J187/$M$10</f>
        <v>2904.5798409090912</v>
      </c>
      <c r="N187" s="181">
        <f>J187/$N$10</f>
        <v>77.455462424242427</v>
      </c>
      <c r="P187" s="181">
        <f>0.1*C187</f>
        <v>9345.9</v>
      </c>
      <c r="Q187" s="181">
        <f>0.1*J187</f>
        <v>12780.151300000001</v>
      </c>
      <c r="R187" s="229"/>
    </row>
    <row r="188" spans="1:18">
      <c r="A188" s="257" t="s">
        <v>278</v>
      </c>
      <c r="B188" s="258" t="s">
        <v>264</v>
      </c>
      <c r="C188" s="259">
        <v>99254</v>
      </c>
      <c r="D188" s="246">
        <v>2162</v>
      </c>
      <c r="E188" s="246">
        <f>C188+D188</f>
        <v>101416</v>
      </c>
      <c r="F188" s="181">
        <f>IF(E188&gt;$L$5,$N$5*(E188-$L$5)+$N$4*($L$5-$L$4)+$N$3*($L$4-$L$1),IF($L$5&gt;E188&gt;$L$4,$N$4*(E188-$L$4)+$N$3*($L$4-$L$1),0))</f>
        <v>12804.192000000001</v>
      </c>
      <c r="G188" s="247">
        <f>E188*$G$10</f>
        <v>20891.696</v>
      </c>
      <c r="H188" s="247">
        <f>E188/100*0.5</f>
        <v>507.08</v>
      </c>
      <c r="I188" s="247">
        <f>F188+G188+H188</f>
        <v>34202.968</v>
      </c>
      <c r="J188" s="246">
        <f>E188+I188</f>
        <v>135618.968</v>
      </c>
      <c r="K188" s="181">
        <f>J188/$K$10</f>
        <v>11301.580666666667</v>
      </c>
      <c r="L188" s="181">
        <f>J188/$L$10</f>
        <v>616.44985454545451</v>
      </c>
      <c r="M188" s="181">
        <f>J188/$M$10</f>
        <v>3082.2492727272725</v>
      </c>
      <c r="N188" s="181">
        <f>J188/$N$10</f>
        <v>82.193313939393931</v>
      </c>
      <c r="P188" s="181">
        <f>0.1*C188</f>
        <v>9925.4000000000015</v>
      </c>
      <c r="Q188" s="181">
        <f>0.1*J188</f>
        <v>13561.8968</v>
      </c>
      <c r="R188" s="229"/>
    </row>
    <row r="189" spans="1:18">
      <c r="A189" s="257" t="s">
        <v>278</v>
      </c>
      <c r="B189" s="258" t="s">
        <v>265</v>
      </c>
      <c r="C189" s="259">
        <v>99254</v>
      </c>
      <c r="D189" s="246">
        <v>2162</v>
      </c>
      <c r="E189" s="246">
        <f>C189+D189</f>
        <v>101416</v>
      </c>
      <c r="F189" s="181">
        <f>IF(E189&gt;$L$5,$N$5*(E189-$L$5)+$N$4*($L$5-$L$4)+$N$3*($L$4-$L$1),IF($L$5&gt;E189&gt;$L$4,$N$4*(E189-$L$4)+$N$3*($L$4-$L$1),0))</f>
        <v>12804.192000000001</v>
      </c>
      <c r="G189" s="247">
        <f>E189*$G$10</f>
        <v>20891.696</v>
      </c>
      <c r="H189" s="247">
        <f>E189/100*0.5</f>
        <v>507.08</v>
      </c>
      <c r="I189" s="247">
        <f>F189+G189+H189</f>
        <v>34202.968</v>
      </c>
      <c r="J189" s="246">
        <f>E189+I189</f>
        <v>135618.968</v>
      </c>
      <c r="K189" s="181">
        <f>J189/$K$10</f>
        <v>11301.580666666667</v>
      </c>
      <c r="L189" s="181">
        <f>J189/$L$10</f>
        <v>616.44985454545451</v>
      </c>
      <c r="M189" s="181">
        <f>J189/$M$10</f>
        <v>3082.2492727272725</v>
      </c>
      <c r="N189" s="181">
        <f>J189/$N$10</f>
        <v>82.193313939393931</v>
      </c>
      <c r="P189" s="181">
        <f>0.1*C189</f>
        <v>9925.4000000000015</v>
      </c>
      <c r="Q189" s="181">
        <f>0.1*J189</f>
        <v>13561.8968</v>
      </c>
      <c r="R189" s="229"/>
    </row>
    <row r="190" spans="1:18">
      <c r="A190" s="257" t="s">
        <v>278</v>
      </c>
      <c r="B190" s="258" t="s">
        <v>266</v>
      </c>
      <c r="C190" s="259">
        <v>99254</v>
      </c>
      <c r="D190" s="246">
        <v>2162</v>
      </c>
      <c r="E190" s="246">
        <f>C190+D190</f>
        <v>101416</v>
      </c>
      <c r="F190" s="181">
        <f>IF(E190&gt;$L$5,$N$5*(E190-$L$5)+$N$4*($L$5-$L$4)+$N$3*($L$4-$L$1),IF($L$5&gt;E190&gt;$L$4,$N$4*(E190-$L$4)+$N$3*($L$4-$L$1),0))</f>
        <v>12804.192000000001</v>
      </c>
      <c r="G190" s="247">
        <f>E190*$G$10</f>
        <v>20891.696</v>
      </c>
      <c r="H190" s="247">
        <f>E190/100*0.5</f>
        <v>507.08</v>
      </c>
      <c r="I190" s="247">
        <f>F190+G190+H190</f>
        <v>34202.968</v>
      </c>
      <c r="J190" s="246">
        <f>E190+I190</f>
        <v>135618.968</v>
      </c>
      <c r="K190" s="181">
        <f>J190/$K$10</f>
        <v>11301.580666666667</v>
      </c>
      <c r="L190" s="181">
        <f>J190/$L$10</f>
        <v>616.44985454545451</v>
      </c>
      <c r="M190" s="181">
        <f>J190/$M$10</f>
        <v>3082.2492727272725</v>
      </c>
      <c r="N190" s="181">
        <f>J190/$N$10</f>
        <v>82.193313939393931</v>
      </c>
      <c r="P190" s="181">
        <f>0.1*C190</f>
        <v>9925.4000000000015</v>
      </c>
      <c r="Q190" s="181">
        <f>0.1*J190</f>
        <v>13561.8968</v>
      </c>
      <c r="R190" s="229"/>
    </row>
    <row r="191" spans="1:18">
      <c r="A191" s="257" t="s">
        <v>278</v>
      </c>
      <c r="B191" s="258" t="s">
        <v>267</v>
      </c>
      <c r="C191" s="259">
        <v>99254</v>
      </c>
      <c r="D191" s="246">
        <v>2162</v>
      </c>
      <c r="E191" s="246">
        <f>C191+D191</f>
        <v>101416</v>
      </c>
      <c r="F191" s="181">
        <f>IF(E191&gt;$L$5,$N$5*(E191-$L$5)+$N$4*($L$5-$L$4)+$N$3*($L$4-$L$1),IF($L$5&gt;E191&gt;$L$4,$N$4*(E191-$L$4)+$N$3*($L$4-$L$1),0))</f>
        <v>12804.192000000001</v>
      </c>
      <c r="G191" s="247">
        <f>E191*$G$10</f>
        <v>20891.696</v>
      </c>
      <c r="H191" s="247">
        <f>E191/100*0.5</f>
        <v>507.08</v>
      </c>
      <c r="I191" s="247">
        <f>F191+G191+H191</f>
        <v>34202.968</v>
      </c>
      <c r="J191" s="246">
        <f>E191+I191</f>
        <v>135618.968</v>
      </c>
      <c r="K191" s="181">
        <f>J191/$K$10</f>
        <v>11301.580666666667</v>
      </c>
      <c r="L191" s="181">
        <f>J191/$L$10</f>
        <v>616.44985454545451</v>
      </c>
      <c r="M191" s="181">
        <f>J191/$M$10</f>
        <v>3082.2492727272725</v>
      </c>
      <c r="N191" s="181">
        <f>J191/$N$10</f>
        <v>82.193313939393931</v>
      </c>
      <c r="P191" s="181">
        <f>0.1*C191</f>
        <v>9925.4000000000015</v>
      </c>
      <c r="Q191" s="181">
        <f>0.1*J191</f>
        <v>13561.8968</v>
      </c>
      <c r="R191" s="229"/>
    </row>
    <row r="192" spans="1:18">
      <c r="A192" s="257" t="s">
        <v>278</v>
      </c>
      <c r="B192" s="258" t="s">
        <v>268</v>
      </c>
      <c r="C192" s="259">
        <v>99254</v>
      </c>
      <c r="D192" s="246">
        <v>2162</v>
      </c>
      <c r="E192" s="246">
        <f>C192+D192</f>
        <v>101416</v>
      </c>
      <c r="F192" s="181">
        <f>IF(E192&gt;$L$5,$N$5*(E192-$L$5)+$N$4*($L$5-$L$4)+$N$3*($L$4-$L$1),IF($L$5&gt;E192&gt;$L$4,$N$4*(E192-$L$4)+$N$3*($L$4-$L$1),0))</f>
        <v>12804.192000000001</v>
      </c>
      <c r="G192" s="247">
        <f>E192*$G$10</f>
        <v>20891.696</v>
      </c>
      <c r="H192" s="247">
        <f>E192/100*0.5</f>
        <v>507.08</v>
      </c>
      <c r="I192" s="247">
        <f>F192+G192+H192</f>
        <v>34202.968</v>
      </c>
      <c r="J192" s="246">
        <f>E192+I192</f>
        <v>135618.968</v>
      </c>
      <c r="K192" s="181">
        <f>J192/$K$10</f>
        <v>11301.580666666667</v>
      </c>
      <c r="L192" s="181">
        <f>J192/$L$10</f>
        <v>616.44985454545451</v>
      </c>
      <c r="M192" s="181">
        <f>J192/$M$10</f>
        <v>3082.2492727272725</v>
      </c>
      <c r="N192" s="181">
        <f>J192/$N$10</f>
        <v>82.193313939393931</v>
      </c>
      <c r="P192" s="181">
        <f>0.1*C192</f>
        <v>9925.4000000000015</v>
      </c>
      <c r="Q192" s="181">
        <f>0.1*J192</f>
        <v>13561.8968</v>
      </c>
      <c r="R192" s="229"/>
    </row>
    <row r="193" spans="1:18">
      <c r="A193" s="257" t="s">
        <v>278</v>
      </c>
      <c r="B193" s="258" t="s">
        <v>269</v>
      </c>
      <c r="C193" s="259">
        <v>105042</v>
      </c>
      <c r="D193" s="246">
        <v>2162</v>
      </c>
      <c r="E193" s="246">
        <f>C193+D193</f>
        <v>107204</v>
      </c>
      <c r="F193" s="181">
        <f>IF(E193&gt;$L$5,$N$5*(E193-$L$5)+$N$4*($L$5-$L$4)+$N$3*($L$4-$L$1),IF($L$5&gt;E193&gt;$L$4,$N$4*(E193-$L$4)+$N$3*($L$4-$L$1),0))</f>
        <v>13602.936000000002</v>
      </c>
      <c r="G193" s="247">
        <f>E193*$G$10</f>
        <v>22084.023999999998</v>
      </c>
      <c r="H193" s="247">
        <f>E193/100*0.5</f>
        <v>536.02</v>
      </c>
      <c r="I193" s="247">
        <f>F193+G193+H193</f>
        <v>36222.979999999996</v>
      </c>
      <c r="J193" s="246">
        <f>E193+I193</f>
        <v>143426.97999999998</v>
      </c>
      <c r="K193" s="181">
        <f>J193/$K$10</f>
        <v>11952.248333333331</v>
      </c>
      <c r="L193" s="181">
        <f>J193/$L$10</f>
        <v>651.94081818181814</v>
      </c>
      <c r="M193" s="181">
        <f>J193/$M$10</f>
        <v>3259.7040909090906</v>
      </c>
      <c r="N193" s="181">
        <f>J193/$N$10</f>
        <v>86.925442424242419</v>
      </c>
      <c r="P193" s="181">
        <f>0.1*C193</f>
        <v>10504.2</v>
      </c>
      <c r="Q193" s="181">
        <f>0.1*J193</f>
        <v>14342.697999999999</v>
      </c>
      <c r="R193" s="229"/>
    </row>
    <row r="194" spans="1:18">
      <c r="A194" s="257"/>
      <c r="B194" s="258"/>
      <c r="C194" s="259"/>
      <c r="D194" s="246"/>
      <c r="E194" s="246"/>
      <c r="F194" s="181"/>
      <c r="G194" s="247"/>
      <c r="H194" s="247"/>
      <c r="I194" s="247"/>
      <c r="J194" s="246"/>
      <c r="K194" s="181"/>
      <c r="L194" s="181"/>
      <c r="M194" s="181"/>
      <c r="N194" s="181"/>
      <c r="P194" s="181"/>
      <c r="Q194" s="181"/>
      <c r="R194" s="229"/>
    </row>
    <row r="195" spans="1:18">
      <c r="A195" s="257"/>
      <c r="B195" s="258"/>
      <c r="C195" s="259"/>
      <c r="D195" s="246"/>
      <c r="E195" s="246"/>
      <c r="F195" s="181"/>
      <c r="G195" s="247"/>
      <c r="H195" s="247"/>
      <c r="I195" s="247"/>
      <c r="J195" s="246"/>
      <c r="K195" s="181"/>
      <c r="L195" s="181"/>
      <c r="M195" s="181"/>
      <c r="N195" s="181"/>
      <c r="P195" s="181"/>
      <c r="Q195" s="181"/>
      <c r="R195" s="229"/>
    </row>
    <row r="196" spans="1:18">
      <c r="A196" s="257" t="s">
        <v>279</v>
      </c>
      <c r="B196" s="258" t="s">
        <v>221</v>
      </c>
      <c r="C196" s="259">
        <v>87665</v>
      </c>
      <c r="D196" s="246">
        <v>2162</v>
      </c>
      <c r="E196" s="246">
        <f>C196+D196</f>
        <v>89827</v>
      </c>
      <c r="F196" s="181">
        <f>IF(E196&gt;$L$5,$N$5*(E196-$L$5)+$N$4*($L$5-$L$4)+$N$3*($L$4-$L$1),IF($L$5&gt;E196&gt;$L$4,$N$4*(E196-$L$4)+$N$3*($L$4-$L$1),0))</f>
        <v>11204.91</v>
      </c>
      <c r="G196" s="247">
        <f>E196*$G$10</f>
        <v>18504.361999999997</v>
      </c>
      <c r="H196" s="247">
        <f>E196/100*0.5</f>
        <v>449.135</v>
      </c>
      <c r="I196" s="247">
        <f>F196+G196+H196</f>
        <v>30158.406999999996</v>
      </c>
      <c r="J196" s="246">
        <f>E196+I196</f>
        <v>119985.40699999999</v>
      </c>
      <c r="K196" s="181">
        <f>J196/$K$10</f>
        <v>9998.7839166666654</v>
      </c>
      <c r="L196" s="181">
        <f>J196/$L$10</f>
        <v>545.38821363636362</v>
      </c>
      <c r="M196" s="181">
        <f>J196/$M$10</f>
        <v>2726.9410681818181</v>
      </c>
      <c r="N196" s="181">
        <f>J196/$N$10</f>
        <v>72.718428484848474</v>
      </c>
      <c r="P196" s="181">
        <f>0.1*C196</f>
        <v>8766.5</v>
      </c>
      <c r="Q196" s="181">
        <f>0.1*J196</f>
        <v>11998.5407</v>
      </c>
      <c r="R196" s="229"/>
    </row>
    <row r="197" spans="1:18">
      <c r="A197" s="257" t="s">
        <v>279</v>
      </c>
      <c r="B197" s="258" t="s">
        <v>257</v>
      </c>
      <c r="C197" s="259">
        <v>87665</v>
      </c>
      <c r="D197" s="246">
        <v>2162</v>
      </c>
      <c r="E197" s="246">
        <f>C197+D197</f>
        <v>89827</v>
      </c>
      <c r="F197" s="181">
        <f>IF(E197&gt;$L$5,$N$5*(E197-$L$5)+$N$4*($L$5-$L$4)+$N$3*($L$4-$L$1),IF($L$5&gt;E197&gt;$L$4,$N$4*(E197-$L$4)+$N$3*($L$4-$L$1),0))</f>
        <v>11204.91</v>
      </c>
      <c r="G197" s="247">
        <f>E197*$G$10</f>
        <v>18504.361999999997</v>
      </c>
      <c r="H197" s="247">
        <f>E197/100*0.5</f>
        <v>449.135</v>
      </c>
      <c r="I197" s="247">
        <f>F197+G197+H197</f>
        <v>30158.406999999996</v>
      </c>
      <c r="J197" s="246">
        <f>E197+I197</f>
        <v>119985.40699999999</v>
      </c>
      <c r="K197" s="181">
        <f>J197/$K$10</f>
        <v>9998.7839166666654</v>
      </c>
      <c r="L197" s="181">
        <f>J197/$L$10</f>
        <v>545.38821363636362</v>
      </c>
      <c r="M197" s="181">
        <f>J197/$M$10</f>
        <v>2726.9410681818181</v>
      </c>
      <c r="N197" s="181">
        <f>J197/$N$10</f>
        <v>72.718428484848474</v>
      </c>
      <c r="P197" s="181">
        <f>0.1*C197</f>
        <v>8766.5</v>
      </c>
      <c r="Q197" s="181">
        <f>0.1*J197</f>
        <v>11998.5407</v>
      </c>
      <c r="R197" s="229"/>
    </row>
    <row r="198" spans="1:18">
      <c r="A198" s="257" t="s">
        <v>279</v>
      </c>
      <c r="B198" s="258" t="s">
        <v>258</v>
      </c>
      <c r="C198" s="259">
        <v>87665</v>
      </c>
      <c r="D198" s="246">
        <v>2162</v>
      </c>
      <c r="E198" s="246">
        <f>C198+D198</f>
        <v>89827</v>
      </c>
      <c r="F198" s="181">
        <f>IF(E198&gt;$L$5,$N$5*(E198-$L$5)+$N$4*($L$5-$L$4)+$N$3*($L$4-$L$1),IF($L$5&gt;E198&gt;$L$4,$N$4*(E198-$L$4)+$N$3*($L$4-$L$1),0))</f>
        <v>11204.91</v>
      </c>
      <c r="G198" s="247">
        <f>E198*$G$10</f>
        <v>18504.361999999997</v>
      </c>
      <c r="H198" s="247">
        <f>E198/100*0.5</f>
        <v>449.135</v>
      </c>
      <c r="I198" s="247">
        <f>F198+G198+H198</f>
        <v>30158.406999999996</v>
      </c>
      <c r="J198" s="246">
        <f>E198+I198</f>
        <v>119985.40699999999</v>
      </c>
      <c r="K198" s="181">
        <f>J198/$K$10</f>
        <v>9998.7839166666654</v>
      </c>
      <c r="L198" s="181">
        <f>J198/$L$10</f>
        <v>545.38821363636362</v>
      </c>
      <c r="M198" s="181">
        <f>J198/$M$10</f>
        <v>2726.9410681818181</v>
      </c>
      <c r="N198" s="181">
        <f>J198/$N$10</f>
        <v>72.718428484848474</v>
      </c>
      <c r="P198" s="181">
        <f>0.1*C198</f>
        <v>8766.5</v>
      </c>
      <c r="Q198" s="181">
        <f>0.1*J198</f>
        <v>11998.5407</v>
      </c>
      <c r="R198" s="229"/>
    </row>
    <row r="199" spans="1:18">
      <c r="A199" s="257" t="s">
        <v>279</v>
      </c>
      <c r="B199" s="258" t="s">
        <v>259</v>
      </c>
      <c r="C199" s="259">
        <v>93459</v>
      </c>
      <c r="D199" s="246">
        <v>2162</v>
      </c>
      <c r="E199" s="246">
        <f>C199+D199</f>
        <v>95621</v>
      </c>
      <c r="F199" s="181">
        <f>IF(E199&gt;$L$5,$N$5*(E199-$L$5)+$N$4*($L$5-$L$4)+$N$3*($L$4-$L$1),IF($L$5&gt;E199&gt;$L$4,$N$4*(E199-$L$4)+$N$3*($L$4-$L$1),0))</f>
        <v>12004.482</v>
      </c>
      <c r="G199" s="247">
        <f>E199*$G$10</f>
        <v>19697.926</v>
      </c>
      <c r="H199" s="247">
        <f>E199/100*0.5</f>
        <v>478.105</v>
      </c>
      <c r="I199" s="247">
        <f>F199+G199+H199</f>
        <v>32180.513</v>
      </c>
      <c r="J199" s="246">
        <f>E199+I199</f>
        <v>127801.513</v>
      </c>
      <c r="K199" s="181">
        <f>J199/$K$10</f>
        <v>10650.126083333334</v>
      </c>
      <c r="L199" s="181">
        <f>J199/$L$10</f>
        <v>580.91596818181824</v>
      </c>
      <c r="M199" s="181">
        <f>J199/$M$10</f>
        <v>2904.5798409090912</v>
      </c>
      <c r="N199" s="181">
        <f>J199/$N$10</f>
        <v>77.455462424242427</v>
      </c>
      <c r="P199" s="181">
        <f>0.1*C199</f>
        <v>9345.9</v>
      </c>
      <c r="Q199" s="181">
        <f>0.1*J199</f>
        <v>12780.151300000001</v>
      </c>
      <c r="R199" s="229"/>
    </row>
    <row r="200" spans="1:18">
      <c r="A200" s="257" t="s">
        <v>279</v>
      </c>
      <c r="B200" s="258" t="s">
        <v>260</v>
      </c>
      <c r="C200" s="259">
        <v>93459</v>
      </c>
      <c r="D200" s="246">
        <v>2162</v>
      </c>
      <c r="E200" s="246">
        <f>C200+D200</f>
        <v>95621</v>
      </c>
      <c r="F200" s="181">
        <f>IF(E200&gt;$L$5,$N$5*(E200-$L$5)+$N$4*($L$5-$L$4)+$N$3*($L$4-$L$1),IF($L$5&gt;E200&gt;$L$4,$N$4*(E200-$L$4)+$N$3*($L$4-$L$1),0))</f>
        <v>12004.482</v>
      </c>
      <c r="G200" s="247">
        <f>E200*$G$10</f>
        <v>19697.926</v>
      </c>
      <c r="H200" s="247">
        <f>E200/100*0.5</f>
        <v>478.105</v>
      </c>
      <c r="I200" s="247">
        <f>F200+G200+H200</f>
        <v>32180.513</v>
      </c>
      <c r="J200" s="246">
        <f>E200+I200</f>
        <v>127801.513</v>
      </c>
      <c r="K200" s="181">
        <f>J200/$K$10</f>
        <v>10650.126083333334</v>
      </c>
      <c r="L200" s="181">
        <f>J200/$L$10</f>
        <v>580.91596818181824</v>
      </c>
      <c r="M200" s="181">
        <f>J200/$M$10</f>
        <v>2904.5798409090912</v>
      </c>
      <c r="N200" s="181">
        <f>J200/$N$10</f>
        <v>77.455462424242427</v>
      </c>
      <c r="P200" s="181">
        <f>0.1*C200</f>
        <v>9345.9</v>
      </c>
      <c r="Q200" s="181">
        <f>0.1*J200</f>
        <v>12780.151300000001</v>
      </c>
      <c r="R200" s="229"/>
    </row>
    <row r="201" spans="1:18">
      <c r="A201" s="257" t="s">
        <v>279</v>
      </c>
      <c r="B201" s="258" t="s">
        <v>261</v>
      </c>
      <c r="C201" s="259">
        <v>93459</v>
      </c>
      <c r="D201" s="246">
        <v>2162</v>
      </c>
      <c r="E201" s="246">
        <f>C201+D201</f>
        <v>95621</v>
      </c>
      <c r="F201" s="181">
        <f>IF(E201&gt;$L$5,$N$5*(E201-$L$5)+$N$4*($L$5-$L$4)+$N$3*($L$4-$L$1),IF($L$5&gt;E201&gt;$L$4,$N$4*(E201-$L$4)+$N$3*($L$4-$L$1),0))</f>
        <v>12004.482</v>
      </c>
      <c r="G201" s="247">
        <f>E201*$G$10</f>
        <v>19697.926</v>
      </c>
      <c r="H201" s="247">
        <f>E201/100*0.5</f>
        <v>478.105</v>
      </c>
      <c r="I201" s="247">
        <f>F201+G201+H201</f>
        <v>32180.513</v>
      </c>
      <c r="J201" s="246">
        <f>E201+I201</f>
        <v>127801.513</v>
      </c>
      <c r="K201" s="181">
        <f>J201/$K$10</f>
        <v>10650.126083333334</v>
      </c>
      <c r="L201" s="181">
        <f>J201/$L$10</f>
        <v>580.91596818181824</v>
      </c>
      <c r="M201" s="181">
        <f>J201/$M$10</f>
        <v>2904.5798409090912</v>
      </c>
      <c r="N201" s="181">
        <f>J201/$N$10</f>
        <v>77.455462424242427</v>
      </c>
      <c r="P201" s="181">
        <f>0.1*C201</f>
        <v>9345.9</v>
      </c>
      <c r="Q201" s="181">
        <f>0.1*J201</f>
        <v>12780.151300000001</v>
      </c>
      <c r="R201" s="229"/>
    </row>
    <row r="202" spans="1:18">
      <c r="A202" s="257" t="s">
        <v>279</v>
      </c>
      <c r="B202" s="258" t="s">
        <v>264</v>
      </c>
      <c r="C202" s="259">
        <v>99254</v>
      </c>
      <c r="D202" s="246">
        <v>2162</v>
      </c>
      <c r="E202" s="246">
        <f>C202+D202</f>
        <v>101416</v>
      </c>
      <c r="F202" s="181">
        <f>IF(E202&gt;$L$5,$N$5*(E202-$L$5)+$N$4*($L$5-$L$4)+$N$3*($L$4-$L$1),IF($L$5&gt;E202&gt;$L$4,$N$4*(E202-$L$4)+$N$3*($L$4-$L$1),0))</f>
        <v>12804.192000000001</v>
      </c>
      <c r="G202" s="247">
        <f>E202*$G$10</f>
        <v>20891.696</v>
      </c>
      <c r="H202" s="247">
        <f>E202/100*0.5</f>
        <v>507.08</v>
      </c>
      <c r="I202" s="247">
        <f>F202+G202+H202</f>
        <v>34202.968</v>
      </c>
      <c r="J202" s="246">
        <f>E202+I202</f>
        <v>135618.968</v>
      </c>
      <c r="K202" s="181">
        <f>J202/$K$10</f>
        <v>11301.580666666667</v>
      </c>
      <c r="L202" s="181">
        <f>J202/$L$10</f>
        <v>616.44985454545451</v>
      </c>
      <c r="M202" s="181">
        <f>J202/$M$10</f>
        <v>3082.2492727272725</v>
      </c>
      <c r="N202" s="181">
        <f>J202/$N$10</f>
        <v>82.193313939393931</v>
      </c>
      <c r="P202" s="181">
        <f>0.1*C202</f>
        <v>9925.4000000000015</v>
      </c>
      <c r="Q202" s="181">
        <f>0.1*J202</f>
        <v>13561.8968</v>
      </c>
      <c r="R202" s="229"/>
    </row>
    <row r="203" spans="1:18">
      <c r="A203" s="257" t="s">
        <v>279</v>
      </c>
      <c r="B203" s="258" t="s">
        <v>265</v>
      </c>
      <c r="C203" s="259">
        <v>99254</v>
      </c>
      <c r="D203" s="246">
        <v>2162</v>
      </c>
      <c r="E203" s="246">
        <f>C203+D203</f>
        <v>101416</v>
      </c>
      <c r="F203" s="181">
        <f>IF(E203&gt;$L$5,$N$5*(E203-$L$5)+$N$4*($L$5-$L$4)+$N$3*($L$4-$L$1),IF($L$5&gt;E203&gt;$L$4,$N$4*(E203-$L$4)+$N$3*($L$4-$L$1),0))</f>
        <v>12804.192000000001</v>
      </c>
      <c r="G203" s="247">
        <f>E203*$G$10</f>
        <v>20891.696</v>
      </c>
      <c r="H203" s="247">
        <f>E203/100*0.5</f>
        <v>507.08</v>
      </c>
      <c r="I203" s="247">
        <f>F203+G203+H203</f>
        <v>34202.968</v>
      </c>
      <c r="J203" s="246">
        <f>E203+I203</f>
        <v>135618.968</v>
      </c>
      <c r="K203" s="181">
        <f>J203/$K$10</f>
        <v>11301.580666666667</v>
      </c>
      <c r="L203" s="181">
        <f>J203/$L$10</f>
        <v>616.44985454545451</v>
      </c>
      <c r="M203" s="181">
        <f>J203/$M$10</f>
        <v>3082.2492727272725</v>
      </c>
      <c r="N203" s="181">
        <f>J203/$N$10</f>
        <v>82.193313939393931</v>
      </c>
      <c r="P203" s="181">
        <f>0.1*C203</f>
        <v>9925.4000000000015</v>
      </c>
      <c r="Q203" s="181">
        <f>0.1*J203</f>
        <v>13561.8968</v>
      </c>
      <c r="R203" s="229"/>
    </row>
    <row r="204" spans="1:18">
      <c r="A204" s="257" t="s">
        <v>279</v>
      </c>
      <c r="B204" s="258" t="s">
        <v>266</v>
      </c>
      <c r="C204" s="259">
        <v>99254</v>
      </c>
      <c r="D204" s="246">
        <v>2162</v>
      </c>
      <c r="E204" s="246">
        <f>C204+D204</f>
        <v>101416</v>
      </c>
      <c r="F204" s="181">
        <f>IF(E204&gt;$L$5,$N$5*(E204-$L$5)+$N$4*($L$5-$L$4)+$N$3*($L$4-$L$1),IF($L$5&gt;E204&gt;$L$4,$N$4*(E204-$L$4)+$N$3*($L$4-$L$1),0))</f>
        <v>12804.192000000001</v>
      </c>
      <c r="G204" s="247">
        <f>E204*$G$10</f>
        <v>20891.696</v>
      </c>
      <c r="H204" s="247">
        <f>E204/100*0.5</f>
        <v>507.08</v>
      </c>
      <c r="I204" s="247">
        <f>F204+G204+H204</f>
        <v>34202.968</v>
      </c>
      <c r="J204" s="246">
        <f>E204+I204</f>
        <v>135618.968</v>
      </c>
      <c r="K204" s="181">
        <f>J204/$K$10</f>
        <v>11301.580666666667</v>
      </c>
      <c r="L204" s="181">
        <f>J204/$L$10</f>
        <v>616.44985454545451</v>
      </c>
      <c r="M204" s="181">
        <f>J204/$M$10</f>
        <v>3082.2492727272725</v>
      </c>
      <c r="N204" s="181">
        <f>J204/$N$10</f>
        <v>82.193313939393931</v>
      </c>
      <c r="P204" s="181">
        <f>0.1*C204</f>
        <v>9925.4000000000015</v>
      </c>
      <c r="Q204" s="181">
        <f>0.1*J204</f>
        <v>13561.8968</v>
      </c>
      <c r="R204" s="229"/>
    </row>
    <row r="205" spans="1:18">
      <c r="A205" s="257" t="s">
        <v>279</v>
      </c>
      <c r="B205" s="258" t="s">
        <v>267</v>
      </c>
      <c r="C205" s="259">
        <v>99254</v>
      </c>
      <c r="D205" s="246">
        <v>2162</v>
      </c>
      <c r="E205" s="246">
        <f>C205+D205</f>
        <v>101416</v>
      </c>
      <c r="F205" s="181">
        <f>IF(E205&gt;$L$5,$N$5*(E205-$L$5)+$N$4*($L$5-$L$4)+$N$3*($L$4-$L$1),IF($L$5&gt;E205&gt;$L$4,$N$4*(E205-$L$4)+$N$3*($L$4-$L$1),0))</f>
        <v>12804.192000000001</v>
      </c>
      <c r="G205" s="247">
        <f>E205*$G$10</f>
        <v>20891.696</v>
      </c>
      <c r="H205" s="247">
        <f>E205/100*0.5</f>
        <v>507.08</v>
      </c>
      <c r="I205" s="247">
        <f>F205+G205+H205</f>
        <v>34202.968</v>
      </c>
      <c r="J205" s="246">
        <f>E205+I205</f>
        <v>135618.968</v>
      </c>
      <c r="K205" s="181">
        <f>J205/$K$10</f>
        <v>11301.580666666667</v>
      </c>
      <c r="L205" s="181">
        <f>J205/$L$10</f>
        <v>616.44985454545451</v>
      </c>
      <c r="M205" s="181">
        <f>J205/$M$10</f>
        <v>3082.2492727272725</v>
      </c>
      <c r="N205" s="181">
        <f>J205/$N$10</f>
        <v>82.193313939393931</v>
      </c>
      <c r="P205" s="181">
        <f>0.1*C205</f>
        <v>9925.4000000000015</v>
      </c>
      <c r="Q205" s="181">
        <f>0.1*J205</f>
        <v>13561.8968</v>
      </c>
      <c r="R205" s="229"/>
    </row>
    <row r="206" spans="1:18">
      <c r="A206" s="257" t="s">
        <v>279</v>
      </c>
      <c r="B206" s="258" t="s">
        <v>268</v>
      </c>
      <c r="C206" s="259">
        <v>99254</v>
      </c>
      <c r="D206" s="246">
        <v>2162</v>
      </c>
      <c r="E206" s="246">
        <f>C206+D206</f>
        <v>101416</v>
      </c>
      <c r="F206" s="181">
        <f>IF(E206&gt;$L$5,$N$5*(E206-$L$5)+$N$4*($L$5-$L$4)+$N$3*($L$4-$L$1),IF($L$5&gt;E206&gt;$L$4,$N$4*(E206-$L$4)+$N$3*($L$4-$L$1),0))</f>
        <v>12804.192000000001</v>
      </c>
      <c r="G206" s="247">
        <f>E206*$G$10</f>
        <v>20891.696</v>
      </c>
      <c r="H206" s="247">
        <f>E206/100*0.5</f>
        <v>507.08</v>
      </c>
      <c r="I206" s="247">
        <f>F206+G206+H206</f>
        <v>34202.968</v>
      </c>
      <c r="J206" s="246">
        <f>E206+I206</f>
        <v>135618.968</v>
      </c>
      <c r="K206" s="181">
        <f>J206/$K$10</f>
        <v>11301.580666666667</v>
      </c>
      <c r="L206" s="181">
        <f>J206/$L$10</f>
        <v>616.44985454545451</v>
      </c>
      <c r="M206" s="181">
        <f>J206/$M$10</f>
        <v>3082.2492727272725</v>
      </c>
      <c r="N206" s="181">
        <f>J206/$N$10</f>
        <v>82.193313939393931</v>
      </c>
      <c r="P206" s="181">
        <f>0.1*C206</f>
        <v>9925.4000000000015</v>
      </c>
      <c r="Q206" s="181">
        <f>0.1*J206</f>
        <v>13561.8968</v>
      </c>
      <c r="R206" s="229"/>
    </row>
    <row r="207" spans="1:18">
      <c r="A207" s="257" t="s">
        <v>279</v>
      </c>
      <c r="B207" s="258" t="s">
        <v>269</v>
      </c>
      <c r="C207" s="259">
        <v>105042</v>
      </c>
      <c r="D207" s="246">
        <v>2162</v>
      </c>
      <c r="E207" s="246">
        <f>C207+D207</f>
        <v>107204</v>
      </c>
      <c r="F207" s="181">
        <f>IF(E207&gt;$L$5,$N$5*(E207-$L$5)+$N$4*($L$5-$L$4)+$N$3*($L$4-$L$1),IF($L$5&gt;E207&gt;$L$4,$N$4*(E207-$L$4)+$N$3*($L$4-$L$1),0))</f>
        <v>13602.936000000002</v>
      </c>
      <c r="G207" s="247">
        <f>E207*$G$10</f>
        <v>22084.023999999998</v>
      </c>
      <c r="H207" s="247">
        <f>E207/100*0.5</f>
        <v>536.02</v>
      </c>
      <c r="I207" s="247">
        <f>F207+G207+H207</f>
        <v>36222.979999999996</v>
      </c>
      <c r="J207" s="246">
        <f>E207+I207</f>
        <v>143426.97999999998</v>
      </c>
      <c r="K207" s="181">
        <f>J207/$K$10</f>
        <v>11952.248333333331</v>
      </c>
      <c r="L207" s="181">
        <f>J207/$L$10</f>
        <v>651.94081818181814</v>
      </c>
      <c r="M207" s="181">
        <f>J207/$M$10</f>
        <v>3259.7040909090906</v>
      </c>
      <c r="N207" s="181">
        <f>J207/$N$10</f>
        <v>86.925442424242419</v>
      </c>
      <c r="P207" s="181">
        <f>0.1*C207</f>
        <v>10504.2</v>
      </c>
      <c r="Q207" s="181">
        <f>0.1*J207</f>
        <v>14342.697999999999</v>
      </c>
      <c r="R207" s="229"/>
    </row>
    <row r="208" spans="1:18">
      <c r="A208" s="257"/>
      <c r="B208" s="258"/>
      <c r="C208" s="259"/>
      <c r="D208" s="246"/>
      <c r="E208" s="246"/>
      <c r="F208" s="181"/>
      <c r="G208" s="247"/>
      <c r="H208" s="247"/>
      <c r="I208" s="247"/>
      <c r="J208" s="246"/>
      <c r="K208" s="181"/>
      <c r="L208" s="181"/>
      <c r="M208" s="181"/>
      <c r="N208" s="181"/>
      <c r="P208" s="181"/>
      <c r="Q208" s="181"/>
      <c r="R208" s="229"/>
    </row>
    <row r="209" spans="1:18">
      <c r="A209" s="257"/>
      <c r="B209" s="258"/>
      <c r="C209" s="259"/>
      <c r="D209" s="246"/>
      <c r="E209" s="246"/>
      <c r="F209" s="181"/>
      <c r="G209" s="247"/>
      <c r="H209" s="247"/>
      <c r="I209" s="247"/>
      <c r="J209" s="246"/>
      <c r="K209" s="181"/>
      <c r="L209" s="181"/>
      <c r="M209" s="181"/>
      <c r="N209" s="181"/>
      <c r="P209" s="181"/>
      <c r="Q209" s="181"/>
      <c r="R209" s="229"/>
    </row>
    <row r="210" spans="1:18">
      <c r="A210" s="257" t="s">
        <v>280</v>
      </c>
      <c r="B210" s="258" t="s">
        <v>221</v>
      </c>
      <c r="C210" s="259">
        <v>87665</v>
      </c>
      <c r="D210" s="246">
        <v>2162</v>
      </c>
      <c r="E210" s="246">
        <f>C210+D210</f>
        <v>89827</v>
      </c>
      <c r="F210" s="181">
        <f>IF(E210&gt;$L$5,$N$5*(E210-$L$5)+$N$4*($L$5-$L$4)+$N$3*($L$4-$L$1),IF($L$5&gt;E210&gt;$L$4,$N$4*(E210-$L$4)+$N$3*($L$4-$L$1),0))</f>
        <v>11204.91</v>
      </c>
      <c r="G210" s="247">
        <f>E210*$G$10</f>
        <v>18504.361999999997</v>
      </c>
      <c r="H210" s="247">
        <f>E210/100*0.5</f>
        <v>449.135</v>
      </c>
      <c r="I210" s="247">
        <f>F210+G210+H210</f>
        <v>30158.406999999996</v>
      </c>
      <c r="J210" s="246">
        <f>E210+I210</f>
        <v>119985.40699999999</v>
      </c>
      <c r="K210" s="181">
        <f>J210/$K$10</f>
        <v>9998.7839166666654</v>
      </c>
      <c r="L210" s="181">
        <f>J210/$L$10</f>
        <v>545.38821363636362</v>
      </c>
      <c r="M210" s="181">
        <f>J210/$M$10</f>
        <v>2726.9410681818181</v>
      </c>
      <c r="N210" s="181">
        <f>J210/$N$10</f>
        <v>72.718428484848474</v>
      </c>
      <c r="P210" s="181">
        <f>0.1*C210</f>
        <v>8766.5</v>
      </c>
      <c r="Q210" s="181">
        <f>0.1*J210</f>
        <v>11998.5407</v>
      </c>
      <c r="R210" s="229"/>
    </row>
    <row r="211" spans="1:18">
      <c r="A211" s="257" t="s">
        <v>280</v>
      </c>
      <c r="B211" s="258" t="s">
        <v>257</v>
      </c>
      <c r="C211" s="259">
        <v>87665</v>
      </c>
      <c r="D211" s="246">
        <v>2162</v>
      </c>
      <c r="E211" s="246">
        <f>C211+D211</f>
        <v>89827</v>
      </c>
      <c r="F211" s="181">
        <f>IF(E211&gt;$L$5,$N$5*(E211-$L$5)+$N$4*($L$5-$L$4)+$N$3*($L$4-$L$1),IF($L$5&gt;E211&gt;$L$4,$N$4*(E211-$L$4)+$N$3*($L$4-$L$1),0))</f>
        <v>11204.91</v>
      </c>
      <c r="G211" s="247">
        <f>E211*$G$10</f>
        <v>18504.361999999997</v>
      </c>
      <c r="H211" s="247">
        <f>E211/100*0.5</f>
        <v>449.135</v>
      </c>
      <c r="I211" s="247">
        <f>F211+G211+H211</f>
        <v>30158.406999999996</v>
      </c>
      <c r="J211" s="246">
        <f>E211+I211</f>
        <v>119985.40699999999</v>
      </c>
      <c r="K211" s="181">
        <f>J211/$K$10</f>
        <v>9998.7839166666654</v>
      </c>
      <c r="L211" s="181">
        <f>J211/$L$10</f>
        <v>545.38821363636362</v>
      </c>
      <c r="M211" s="181">
        <f>J211/$M$10</f>
        <v>2726.9410681818181</v>
      </c>
      <c r="N211" s="181">
        <f>J211/$N$10</f>
        <v>72.718428484848474</v>
      </c>
      <c r="P211" s="181">
        <f>0.1*C211</f>
        <v>8766.5</v>
      </c>
      <c r="Q211" s="181">
        <f>0.1*J211</f>
        <v>11998.5407</v>
      </c>
      <c r="R211" s="229"/>
    </row>
    <row r="212" spans="1:18">
      <c r="A212" s="257" t="s">
        <v>280</v>
      </c>
      <c r="B212" s="258" t="s">
        <v>258</v>
      </c>
      <c r="C212" s="259">
        <v>87665</v>
      </c>
      <c r="D212" s="246">
        <v>2162</v>
      </c>
      <c r="E212" s="246">
        <f>C212+D212</f>
        <v>89827</v>
      </c>
      <c r="F212" s="181">
        <f>IF(E212&gt;$L$5,$N$5*(E212-$L$5)+$N$4*($L$5-$L$4)+$N$3*($L$4-$L$1),IF($L$5&gt;E212&gt;$L$4,$N$4*(E212-$L$4)+$N$3*($L$4-$L$1),0))</f>
        <v>11204.91</v>
      </c>
      <c r="G212" s="247">
        <f>E212*$G$10</f>
        <v>18504.361999999997</v>
      </c>
      <c r="H212" s="247">
        <f>E212/100*0.5</f>
        <v>449.135</v>
      </c>
      <c r="I212" s="247">
        <f>F212+G212+H212</f>
        <v>30158.406999999996</v>
      </c>
      <c r="J212" s="246">
        <f>E212+I212</f>
        <v>119985.40699999999</v>
      </c>
      <c r="K212" s="181">
        <f>J212/$K$10</f>
        <v>9998.7839166666654</v>
      </c>
      <c r="L212" s="181">
        <f>J212/$L$10</f>
        <v>545.38821363636362</v>
      </c>
      <c r="M212" s="181">
        <f>J212/$M$10</f>
        <v>2726.9410681818181</v>
      </c>
      <c r="N212" s="181">
        <f>J212/$N$10</f>
        <v>72.718428484848474</v>
      </c>
      <c r="P212" s="181">
        <f>0.1*C212</f>
        <v>8766.5</v>
      </c>
      <c r="Q212" s="181">
        <f>0.1*J212</f>
        <v>11998.5407</v>
      </c>
      <c r="R212" s="229"/>
    </row>
    <row r="213" spans="1:18">
      <c r="A213" s="257" t="s">
        <v>280</v>
      </c>
      <c r="B213" s="258" t="s">
        <v>259</v>
      </c>
      <c r="C213" s="259">
        <v>93459</v>
      </c>
      <c r="D213" s="246">
        <v>2162</v>
      </c>
      <c r="E213" s="246">
        <f>C213+D213</f>
        <v>95621</v>
      </c>
      <c r="F213" s="181">
        <f>IF(E213&gt;$L$5,$N$5*(E213-$L$5)+$N$4*($L$5-$L$4)+$N$3*($L$4-$L$1),IF($L$5&gt;E213&gt;$L$4,$N$4*(E213-$L$4)+$N$3*($L$4-$L$1),0))</f>
        <v>12004.482</v>
      </c>
      <c r="G213" s="247">
        <f>E213*$G$10</f>
        <v>19697.926</v>
      </c>
      <c r="H213" s="247">
        <f>E213/100*0.5</f>
        <v>478.105</v>
      </c>
      <c r="I213" s="247">
        <f>F213+G213+H213</f>
        <v>32180.513</v>
      </c>
      <c r="J213" s="246">
        <f>E213+I213</f>
        <v>127801.513</v>
      </c>
      <c r="K213" s="181">
        <f>J213/$K$10</f>
        <v>10650.126083333334</v>
      </c>
      <c r="L213" s="181">
        <f>J213/$L$10</f>
        <v>580.91596818181824</v>
      </c>
      <c r="M213" s="181">
        <f>J213/$M$10</f>
        <v>2904.5798409090912</v>
      </c>
      <c r="N213" s="181">
        <f>J213/$N$10</f>
        <v>77.455462424242427</v>
      </c>
      <c r="P213" s="181">
        <f>0.1*C213</f>
        <v>9345.9</v>
      </c>
      <c r="Q213" s="181">
        <f>0.1*J213</f>
        <v>12780.151300000001</v>
      </c>
      <c r="R213" s="229"/>
    </row>
    <row r="214" spans="1:18">
      <c r="A214" s="257" t="s">
        <v>280</v>
      </c>
      <c r="B214" s="258" t="s">
        <v>260</v>
      </c>
      <c r="C214" s="259">
        <v>93459</v>
      </c>
      <c r="D214" s="246">
        <v>2162</v>
      </c>
      <c r="E214" s="246">
        <f>C214+D214</f>
        <v>95621</v>
      </c>
      <c r="F214" s="181">
        <f>IF(E214&gt;$L$5,$N$5*(E214-$L$5)+$N$4*($L$5-$L$4)+$N$3*($L$4-$L$1),IF($L$5&gt;E214&gt;$L$4,$N$4*(E214-$L$4)+$N$3*($L$4-$L$1),0))</f>
        <v>12004.482</v>
      </c>
      <c r="G214" s="247">
        <f>E214*$G$10</f>
        <v>19697.926</v>
      </c>
      <c r="H214" s="247">
        <f>E214/100*0.5</f>
        <v>478.105</v>
      </c>
      <c r="I214" s="247">
        <f>F214+G214+H214</f>
        <v>32180.513</v>
      </c>
      <c r="J214" s="246">
        <f>E214+I214</f>
        <v>127801.513</v>
      </c>
      <c r="K214" s="181">
        <f>J214/$K$10</f>
        <v>10650.126083333334</v>
      </c>
      <c r="L214" s="181">
        <f>J214/$L$10</f>
        <v>580.91596818181824</v>
      </c>
      <c r="M214" s="181">
        <f>J214/$M$10</f>
        <v>2904.5798409090912</v>
      </c>
      <c r="N214" s="181">
        <f>J214/$N$10</f>
        <v>77.455462424242427</v>
      </c>
      <c r="P214" s="181">
        <f>0.1*C214</f>
        <v>9345.9</v>
      </c>
      <c r="Q214" s="181">
        <f>0.1*J214</f>
        <v>12780.151300000001</v>
      </c>
      <c r="R214" s="229"/>
    </row>
    <row r="215" spans="1:18">
      <c r="A215" s="257" t="s">
        <v>280</v>
      </c>
      <c r="B215" s="258" t="s">
        <v>264</v>
      </c>
      <c r="C215" s="259">
        <v>99254</v>
      </c>
      <c r="D215" s="246">
        <v>2162</v>
      </c>
      <c r="E215" s="246">
        <f>C215+D215</f>
        <v>101416</v>
      </c>
      <c r="F215" s="181">
        <f>IF(E215&gt;$L$5,$N$5*(E215-$L$5)+$N$4*($L$5-$L$4)+$N$3*($L$4-$L$1),IF($L$5&gt;E215&gt;$L$4,$N$4*(E215-$L$4)+$N$3*($L$4-$L$1),0))</f>
        <v>12804.192000000001</v>
      </c>
      <c r="G215" s="247">
        <f>E215*$G$10</f>
        <v>20891.696</v>
      </c>
      <c r="H215" s="247">
        <f>E215/100*0.5</f>
        <v>507.08</v>
      </c>
      <c r="I215" s="247">
        <f>F215+G215+H215</f>
        <v>34202.968</v>
      </c>
      <c r="J215" s="246">
        <f>E215+I215</f>
        <v>135618.968</v>
      </c>
      <c r="K215" s="181">
        <f>J215/$K$10</f>
        <v>11301.580666666667</v>
      </c>
      <c r="L215" s="181">
        <f>J215/$L$10</f>
        <v>616.44985454545451</v>
      </c>
      <c r="M215" s="181">
        <f>J215/$M$10</f>
        <v>3082.2492727272725</v>
      </c>
      <c r="N215" s="181">
        <f>J215/$N$10</f>
        <v>82.193313939393931</v>
      </c>
      <c r="P215" s="181">
        <f>0.1*C215</f>
        <v>9925.4000000000015</v>
      </c>
      <c r="Q215" s="181">
        <f>0.1*J215</f>
        <v>13561.8968</v>
      </c>
      <c r="R215" s="229"/>
    </row>
    <row r="216" spans="1:18">
      <c r="A216" s="257" t="s">
        <v>280</v>
      </c>
      <c r="B216" s="258" t="s">
        <v>265</v>
      </c>
      <c r="C216" s="259">
        <v>99254</v>
      </c>
      <c r="D216" s="246">
        <v>2162</v>
      </c>
      <c r="E216" s="246">
        <f>C216+D216</f>
        <v>101416</v>
      </c>
      <c r="F216" s="181">
        <f>IF(E216&gt;$L$5,$N$5*(E216-$L$5)+$N$4*($L$5-$L$4)+$N$3*($L$4-$L$1),IF($L$5&gt;E216&gt;$L$4,$N$4*(E216-$L$4)+$N$3*($L$4-$L$1),0))</f>
        <v>12804.192000000001</v>
      </c>
      <c r="G216" s="247">
        <f>E216*$G$10</f>
        <v>20891.696</v>
      </c>
      <c r="H216" s="247">
        <f>E216/100*0.5</f>
        <v>507.08</v>
      </c>
      <c r="I216" s="247">
        <f>F216+G216+H216</f>
        <v>34202.968</v>
      </c>
      <c r="J216" s="246">
        <f>E216+I216</f>
        <v>135618.968</v>
      </c>
      <c r="K216" s="181">
        <f>J216/$K$10</f>
        <v>11301.580666666667</v>
      </c>
      <c r="L216" s="181">
        <f>J216/$L$10</f>
        <v>616.44985454545451</v>
      </c>
      <c r="M216" s="181">
        <f>J216/$M$10</f>
        <v>3082.2492727272725</v>
      </c>
      <c r="N216" s="181">
        <f>J216/$N$10</f>
        <v>82.193313939393931</v>
      </c>
      <c r="P216" s="181">
        <f>0.1*C216</f>
        <v>9925.4000000000015</v>
      </c>
      <c r="Q216" s="181">
        <f>0.1*J216</f>
        <v>13561.8968</v>
      </c>
      <c r="R216" s="229"/>
    </row>
    <row r="217" spans="1:18">
      <c r="A217" s="257" t="s">
        <v>280</v>
      </c>
      <c r="B217" s="258" t="s">
        <v>266</v>
      </c>
      <c r="C217" s="259">
        <v>99254</v>
      </c>
      <c r="D217" s="246">
        <v>2162</v>
      </c>
      <c r="E217" s="246">
        <f>C217+D217</f>
        <v>101416</v>
      </c>
      <c r="F217" s="181">
        <f>IF(E217&gt;$L$5,$N$5*(E217-$L$5)+$N$4*($L$5-$L$4)+$N$3*($L$4-$L$1),IF($L$5&gt;E217&gt;$L$4,$N$4*(E217-$L$4)+$N$3*($L$4-$L$1),0))</f>
        <v>12804.192000000001</v>
      </c>
      <c r="G217" s="247">
        <f>E217*$G$10</f>
        <v>20891.696</v>
      </c>
      <c r="H217" s="247">
        <f>E217/100*0.5</f>
        <v>507.08</v>
      </c>
      <c r="I217" s="247">
        <f>F217+G217+H217</f>
        <v>34202.968</v>
      </c>
      <c r="J217" s="246">
        <f>E217+I217</f>
        <v>135618.968</v>
      </c>
      <c r="K217" s="181">
        <f>J217/$K$10</f>
        <v>11301.580666666667</v>
      </c>
      <c r="L217" s="181">
        <f>J217/$L$10</f>
        <v>616.44985454545451</v>
      </c>
      <c r="M217" s="181">
        <f>J217/$M$10</f>
        <v>3082.2492727272725</v>
      </c>
      <c r="N217" s="181">
        <f>J217/$N$10</f>
        <v>82.193313939393931</v>
      </c>
      <c r="P217" s="181">
        <f>0.1*C217</f>
        <v>9925.4000000000015</v>
      </c>
      <c r="Q217" s="181">
        <f>0.1*J217</f>
        <v>13561.8968</v>
      </c>
      <c r="R217" s="229"/>
    </row>
    <row r="218" spans="1:18">
      <c r="A218" s="257" t="s">
        <v>280</v>
      </c>
      <c r="B218" s="258" t="s">
        <v>267</v>
      </c>
      <c r="C218" s="259">
        <v>99254</v>
      </c>
      <c r="D218" s="246">
        <v>2162</v>
      </c>
      <c r="E218" s="246">
        <f>C218+D218</f>
        <v>101416</v>
      </c>
      <c r="F218" s="181">
        <f>IF(E218&gt;$L$5,$N$5*(E218-$L$5)+$N$4*($L$5-$L$4)+$N$3*($L$4-$L$1),IF($L$5&gt;E218&gt;$L$4,$N$4*(E218-$L$4)+$N$3*($L$4-$L$1),0))</f>
        <v>12804.192000000001</v>
      </c>
      <c r="G218" s="247">
        <f>E218*$G$10</f>
        <v>20891.696</v>
      </c>
      <c r="H218" s="247">
        <f>E218/100*0.5</f>
        <v>507.08</v>
      </c>
      <c r="I218" s="247">
        <f>F218+G218+H218</f>
        <v>34202.968</v>
      </c>
      <c r="J218" s="246">
        <f>E218+I218</f>
        <v>135618.968</v>
      </c>
      <c r="K218" s="181">
        <f>J218/$K$10</f>
        <v>11301.580666666667</v>
      </c>
      <c r="L218" s="181">
        <f>J218/$L$10</f>
        <v>616.44985454545451</v>
      </c>
      <c r="M218" s="181">
        <f>J218/$M$10</f>
        <v>3082.2492727272725</v>
      </c>
      <c r="N218" s="181">
        <f>J218/$N$10</f>
        <v>82.193313939393931</v>
      </c>
      <c r="P218" s="181">
        <f>0.1*C218</f>
        <v>9925.4000000000015</v>
      </c>
      <c r="Q218" s="181">
        <f>0.1*J218</f>
        <v>13561.8968</v>
      </c>
      <c r="R218" s="229"/>
    </row>
    <row r="219" spans="1:18">
      <c r="A219" s="257" t="s">
        <v>280</v>
      </c>
      <c r="B219" s="258" t="s">
        <v>268</v>
      </c>
      <c r="C219" s="259">
        <v>99254</v>
      </c>
      <c r="D219" s="246">
        <v>2162</v>
      </c>
      <c r="E219" s="246">
        <f>C219+D219</f>
        <v>101416</v>
      </c>
      <c r="F219" s="181">
        <f>IF(E219&gt;$L$5,$N$5*(E219-$L$5)+$N$4*($L$5-$L$4)+$N$3*($L$4-$L$1),IF($L$5&gt;E219&gt;$L$4,$N$4*(E219-$L$4)+$N$3*($L$4-$L$1),0))</f>
        <v>12804.192000000001</v>
      </c>
      <c r="G219" s="247">
        <f>E219*$G$10</f>
        <v>20891.696</v>
      </c>
      <c r="H219" s="247">
        <f>E219/100*0.5</f>
        <v>507.08</v>
      </c>
      <c r="I219" s="247">
        <f>F219+G219+H219</f>
        <v>34202.968</v>
      </c>
      <c r="J219" s="246">
        <f>E219+I219</f>
        <v>135618.968</v>
      </c>
      <c r="K219" s="181">
        <f>J219/$K$10</f>
        <v>11301.580666666667</v>
      </c>
      <c r="L219" s="181">
        <f>J219/$L$10</f>
        <v>616.44985454545451</v>
      </c>
      <c r="M219" s="181">
        <f>J219/$M$10</f>
        <v>3082.2492727272725</v>
      </c>
      <c r="N219" s="181">
        <f>J219/$N$10</f>
        <v>82.193313939393931</v>
      </c>
      <c r="P219" s="181">
        <f>0.1*C219</f>
        <v>9925.4000000000015</v>
      </c>
      <c r="Q219" s="181">
        <f>0.1*J219</f>
        <v>13561.8968</v>
      </c>
      <c r="R219" s="229"/>
    </row>
    <row r="220" spans="1:18">
      <c r="A220" s="257" t="s">
        <v>280</v>
      </c>
      <c r="B220" s="258" t="s">
        <v>269</v>
      </c>
      <c r="C220" s="259">
        <v>105042</v>
      </c>
      <c r="D220" s="246">
        <v>2162</v>
      </c>
      <c r="E220" s="246">
        <f>C220+D220</f>
        <v>107204</v>
      </c>
      <c r="F220" s="181">
        <f>IF(E220&gt;$L$5,$N$5*(E220-$L$5)+$N$4*($L$5-$L$4)+$N$3*($L$4-$L$1),IF($L$5&gt;E220&gt;$L$4,$N$4*(E220-$L$4)+$N$3*($L$4-$L$1),0))</f>
        <v>13602.936000000002</v>
      </c>
      <c r="G220" s="247">
        <f>E220*$G$10</f>
        <v>22084.023999999998</v>
      </c>
      <c r="H220" s="247">
        <f>E220/100*0.5</f>
        <v>536.02</v>
      </c>
      <c r="I220" s="247">
        <f>F220+G220+H220</f>
        <v>36222.979999999996</v>
      </c>
      <c r="J220" s="246">
        <f>E220+I220</f>
        <v>143426.97999999998</v>
      </c>
      <c r="K220" s="181">
        <f>J220/$K$10</f>
        <v>11952.248333333331</v>
      </c>
      <c r="L220" s="181">
        <f>J220/$L$10</f>
        <v>651.94081818181814</v>
      </c>
      <c r="M220" s="181">
        <f>J220/$M$10</f>
        <v>3259.7040909090906</v>
      </c>
      <c r="N220" s="181">
        <f>J220/$N$10</f>
        <v>86.925442424242419</v>
      </c>
      <c r="P220" s="181">
        <f>0.1*C220</f>
        <v>10504.2</v>
      </c>
      <c r="Q220" s="181">
        <f>0.1*J220</f>
        <v>14342.697999999999</v>
      </c>
      <c r="R220" s="229"/>
    </row>
    <row r="221" spans="1:18">
      <c r="A221" s="257"/>
      <c r="B221" s="258"/>
      <c r="C221" s="259"/>
      <c r="D221" s="246"/>
      <c r="E221" s="246"/>
      <c r="F221" s="181"/>
      <c r="G221" s="247"/>
      <c r="H221" s="247"/>
      <c r="I221" s="247"/>
      <c r="J221" s="246"/>
      <c r="K221" s="181"/>
      <c r="L221" s="181"/>
      <c r="M221" s="181"/>
      <c r="N221" s="181"/>
      <c r="P221" s="181"/>
      <c r="Q221" s="181"/>
      <c r="R221" s="229"/>
    </row>
    <row r="222" spans="1:18">
      <c r="A222" s="257"/>
      <c r="B222" s="258"/>
      <c r="C222" s="259"/>
      <c r="D222" s="246"/>
      <c r="E222" s="246"/>
      <c r="F222" s="181"/>
      <c r="G222" s="247"/>
      <c r="H222" s="247"/>
      <c r="I222" s="247"/>
      <c r="J222" s="246"/>
      <c r="K222" s="181"/>
      <c r="L222" s="181"/>
      <c r="M222" s="181"/>
      <c r="N222" s="181"/>
      <c r="P222" s="181"/>
      <c r="Q222" s="181"/>
      <c r="R222" s="229"/>
    </row>
    <row r="223" spans="1:18">
      <c r="A223" s="257" t="s">
        <v>281</v>
      </c>
      <c r="B223" s="258" t="s">
        <v>221</v>
      </c>
      <c r="C223" s="259">
        <v>87665</v>
      </c>
      <c r="D223" s="246">
        <v>2162</v>
      </c>
      <c r="E223" s="246">
        <f>C223+D223</f>
        <v>89827</v>
      </c>
      <c r="F223" s="181">
        <f>IF(E223&gt;$L$5,$N$5*(E223-$L$5)+$N$4*($L$5-$L$4)+$N$3*($L$4-$L$1),IF($L$5&gt;E223&gt;$L$4,$N$4*(E223-$L$4)+$N$3*($L$4-$L$1),0))</f>
        <v>11204.91</v>
      </c>
      <c r="G223" s="247">
        <f>E223*$G$10</f>
        <v>18504.361999999997</v>
      </c>
      <c r="H223" s="247">
        <f>E223/100*0.5</f>
        <v>449.135</v>
      </c>
      <c r="I223" s="247">
        <f>F223+G223+H223</f>
        <v>30158.406999999996</v>
      </c>
      <c r="J223" s="246">
        <f>E223+I223</f>
        <v>119985.40699999999</v>
      </c>
      <c r="K223" s="181">
        <f>J223/$K$10</f>
        <v>9998.7839166666654</v>
      </c>
      <c r="L223" s="181">
        <f>J223/$L$10</f>
        <v>545.38821363636362</v>
      </c>
      <c r="M223" s="181">
        <f>J223/$M$10</f>
        <v>2726.9410681818181</v>
      </c>
      <c r="N223" s="181">
        <f>J223/$N$10</f>
        <v>72.718428484848474</v>
      </c>
      <c r="P223" s="181">
        <f>0.1*C223</f>
        <v>8766.5</v>
      </c>
      <c r="Q223" s="181">
        <f>0.1*J223</f>
        <v>11998.5407</v>
      </c>
      <c r="R223" s="229"/>
    </row>
    <row r="224" spans="1:18">
      <c r="A224" s="257" t="s">
        <v>281</v>
      </c>
      <c r="B224" s="258" t="s">
        <v>257</v>
      </c>
      <c r="C224" s="259">
        <v>87665</v>
      </c>
      <c r="D224" s="246">
        <v>2162</v>
      </c>
      <c r="E224" s="246">
        <f>C224+D224</f>
        <v>89827</v>
      </c>
      <c r="F224" s="181">
        <f>IF(E224&gt;$L$5,$N$5*(E224-$L$5)+$N$4*($L$5-$L$4)+$N$3*($L$4-$L$1),IF($L$5&gt;E224&gt;$L$4,$N$4*(E224-$L$4)+$N$3*($L$4-$L$1),0))</f>
        <v>11204.91</v>
      </c>
      <c r="G224" s="247">
        <f>E224*$G$10</f>
        <v>18504.361999999997</v>
      </c>
      <c r="H224" s="247">
        <f>E224/100*0.5</f>
        <v>449.135</v>
      </c>
      <c r="I224" s="247">
        <f>F224+G224+H224</f>
        <v>30158.406999999996</v>
      </c>
      <c r="J224" s="246">
        <f>E224+I224</f>
        <v>119985.40699999999</v>
      </c>
      <c r="K224" s="181">
        <f>J224/$K$10</f>
        <v>9998.7839166666654</v>
      </c>
      <c r="L224" s="181">
        <f>J224/$L$10</f>
        <v>545.38821363636362</v>
      </c>
      <c r="M224" s="181">
        <f>J224/$M$10</f>
        <v>2726.9410681818181</v>
      </c>
      <c r="N224" s="181">
        <f>J224/$N$10</f>
        <v>72.718428484848474</v>
      </c>
      <c r="P224" s="181">
        <f>0.1*C224</f>
        <v>8766.5</v>
      </c>
      <c r="Q224" s="181">
        <f>0.1*J224</f>
        <v>11998.5407</v>
      </c>
      <c r="R224" s="229"/>
    </row>
    <row r="225" spans="1:18">
      <c r="A225" s="257" t="s">
        <v>281</v>
      </c>
      <c r="B225" s="258" t="s">
        <v>258</v>
      </c>
      <c r="C225" s="259">
        <v>87665</v>
      </c>
      <c r="D225" s="246">
        <v>2162</v>
      </c>
      <c r="E225" s="246">
        <f>C225+D225</f>
        <v>89827</v>
      </c>
      <c r="F225" s="181">
        <f>IF(E225&gt;$L$5,$N$5*(E225-$L$5)+$N$4*($L$5-$L$4)+$N$3*($L$4-$L$1),IF($L$5&gt;E225&gt;$L$4,$N$4*(E225-$L$4)+$N$3*($L$4-$L$1),0))</f>
        <v>11204.91</v>
      </c>
      <c r="G225" s="247">
        <f>E225*$G$10</f>
        <v>18504.361999999997</v>
      </c>
      <c r="H225" s="247">
        <f>E225/100*0.5</f>
        <v>449.135</v>
      </c>
      <c r="I225" s="247">
        <f>F225+G225+H225</f>
        <v>30158.406999999996</v>
      </c>
      <c r="J225" s="246">
        <f>E225+I225</f>
        <v>119985.40699999999</v>
      </c>
      <c r="K225" s="181">
        <f>J225/$K$10</f>
        <v>9998.7839166666654</v>
      </c>
      <c r="L225" s="181">
        <f>J225/$L$10</f>
        <v>545.38821363636362</v>
      </c>
      <c r="M225" s="181">
        <f>J225/$M$10</f>
        <v>2726.9410681818181</v>
      </c>
      <c r="N225" s="181">
        <f>J225/$N$10</f>
        <v>72.718428484848474</v>
      </c>
      <c r="P225" s="181">
        <f>0.1*C225</f>
        <v>8766.5</v>
      </c>
      <c r="Q225" s="181">
        <f>0.1*J225</f>
        <v>11998.5407</v>
      </c>
      <c r="R225" s="229"/>
    </row>
    <row r="226" spans="1:18">
      <c r="A226" s="257" t="s">
        <v>281</v>
      </c>
      <c r="B226" s="258" t="s">
        <v>259</v>
      </c>
      <c r="C226" s="259">
        <v>93459</v>
      </c>
      <c r="D226" s="246">
        <v>2162</v>
      </c>
      <c r="E226" s="246">
        <f>C226+D226</f>
        <v>95621</v>
      </c>
      <c r="F226" s="181">
        <f>IF(E226&gt;$L$5,$N$5*(E226-$L$5)+$N$4*($L$5-$L$4)+$N$3*($L$4-$L$1),IF($L$5&gt;E226&gt;$L$4,$N$4*(E226-$L$4)+$N$3*($L$4-$L$1),0))</f>
        <v>12004.482</v>
      </c>
      <c r="G226" s="247">
        <f>E226*$G$10</f>
        <v>19697.926</v>
      </c>
      <c r="H226" s="247">
        <f>E226/100*0.5</f>
        <v>478.105</v>
      </c>
      <c r="I226" s="247">
        <f>F226+G226+H226</f>
        <v>32180.513</v>
      </c>
      <c r="J226" s="246">
        <f>E226+I226</f>
        <v>127801.513</v>
      </c>
      <c r="K226" s="181">
        <f>J226/$K$10</f>
        <v>10650.126083333334</v>
      </c>
      <c r="L226" s="181">
        <f>J226/$L$10</f>
        <v>580.91596818181824</v>
      </c>
      <c r="M226" s="181">
        <f>J226/$M$10</f>
        <v>2904.5798409090912</v>
      </c>
      <c r="N226" s="181">
        <f>J226/$N$10</f>
        <v>77.455462424242427</v>
      </c>
      <c r="P226" s="181">
        <f>0.1*C226</f>
        <v>9345.9</v>
      </c>
      <c r="Q226" s="181">
        <f>0.1*J226</f>
        <v>12780.151300000001</v>
      </c>
      <c r="R226" s="229"/>
    </row>
    <row r="227" spans="1:18">
      <c r="A227" s="257" t="s">
        <v>281</v>
      </c>
      <c r="B227" s="258" t="s">
        <v>264</v>
      </c>
      <c r="C227" s="259">
        <v>93459</v>
      </c>
      <c r="D227" s="246">
        <v>2162</v>
      </c>
      <c r="E227" s="246">
        <f>C227+D227</f>
        <v>95621</v>
      </c>
      <c r="F227" s="181">
        <f>IF(E227&gt;$L$5,$N$5*(E227-$L$5)+$N$4*($L$5-$L$4)+$N$3*($L$4-$L$1),IF($L$5&gt;E227&gt;$L$4,$N$4*(E227-$L$4)+$N$3*($L$4-$L$1),0))</f>
        <v>12004.482</v>
      </c>
      <c r="G227" s="247">
        <f>E227*$G$10</f>
        <v>19697.926</v>
      </c>
      <c r="H227" s="247">
        <f>E227/100*0.5</f>
        <v>478.105</v>
      </c>
      <c r="I227" s="247">
        <f>F227+G227+H227</f>
        <v>32180.513</v>
      </c>
      <c r="J227" s="246">
        <f>E227+I227</f>
        <v>127801.513</v>
      </c>
      <c r="K227" s="181">
        <f>J227/$K$10</f>
        <v>10650.126083333334</v>
      </c>
      <c r="L227" s="181">
        <f>J227/$L$10</f>
        <v>580.91596818181824</v>
      </c>
      <c r="M227" s="181">
        <f>J227/$M$10</f>
        <v>2904.5798409090912</v>
      </c>
      <c r="N227" s="181">
        <f>J227/$N$10</f>
        <v>77.455462424242427</v>
      </c>
      <c r="P227" s="181">
        <f>0.1*C227</f>
        <v>9345.9</v>
      </c>
      <c r="Q227" s="181">
        <f>0.1*J227</f>
        <v>12780.151300000001</v>
      </c>
      <c r="R227" s="229"/>
    </row>
    <row r="228" spans="1:18">
      <c r="A228" s="257" t="s">
        <v>281</v>
      </c>
      <c r="B228" s="258" t="s">
        <v>265</v>
      </c>
      <c r="C228" s="259">
        <v>99254</v>
      </c>
      <c r="D228" s="246">
        <v>2162</v>
      </c>
      <c r="E228" s="246">
        <f>C228+D228</f>
        <v>101416</v>
      </c>
      <c r="F228" s="181">
        <f>IF(E228&gt;$L$5,$N$5*(E228-$L$5)+$N$4*($L$5-$L$4)+$N$3*($L$4-$L$1),IF($L$5&gt;E228&gt;$L$4,$N$4*(E228-$L$4)+$N$3*($L$4-$L$1),0))</f>
        <v>12804.192000000001</v>
      </c>
      <c r="G228" s="247">
        <f>E228*$G$10</f>
        <v>20891.696</v>
      </c>
      <c r="H228" s="247">
        <f>E228/100*0.5</f>
        <v>507.08</v>
      </c>
      <c r="I228" s="247">
        <f>F228+G228+H228</f>
        <v>34202.968</v>
      </c>
      <c r="J228" s="246">
        <f>E228+I228</f>
        <v>135618.968</v>
      </c>
      <c r="K228" s="181">
        <f>J228/$K$10</f>
        <v>11301.580666666667</v>
      </c>
      <c r="L228" s="181">
        <f>J228/$L$10</f>
        <v>616.44985454545451</v>
      </c>
      <c r="M228" s="181">
        <f>J228/$M$10</f>
        <v>3082.2492727272725</v>
      </c>
      <c r="N228" s="181">
        <f>J228/$N$10</f>
        <v>82.193313939393931</v>
      </c>
      <c r="P228" s="181">
        <f>0.1*C228</f>
        <v>9925.4000000000015</v>
      </c>
      <c r="Q228" s="181">
        <f>0.1*J228</f>
        <v>13561.8968</v>
      </c>
      <c r="R228" s="229"/>
    </row>
    <row r="229" spans="1:18">
      <c r="A229" s="257" t="s">
        <v>281</v>
      </c>
      <c r="B229" s="258" t="s">
        <v>266</v>
      </c>
      <c r="C229" s="259">
        <v>99254</v>
      </c>
      <c r="D229" s="246">
        <v>2162</v>
      </c>
      <c r="E229" s="246">
        <f>C229+D229</f>
        <v>101416</v>
      </c>
      <c r="F229" s="181">
        <f>IF(E229&gt;$L$5,$N$5*(E229-$L$5)+$N$4*($L$5-$L$4)+$N$3*($L$4-$L$1),IF($L$5&gt;E229&gt;$L$4,$N$4*(E229-$L$4)+$N$3*($L$4-$L$1),0))</f>
        <v>12804.192000000001</v>
      </c>
      <c r="G229" s="247">
        <f>E229*$G$10</f>
        <v>20891.696</v>
      </c>
      <c r="H229" s="247">
        <f>E229/100*0.5</f>
        <v>507.08</v>
      </c>
      <c r="I229" s="247">
        <f>F229+G229+H229</f>
        <v>34202.968</v>
      </c>
      <c r="J229" s="246">
        <f>E229+I229</f>
        <v>135618.968</v>
      </c>
      <c r="K229" s="181">
        <f>J229/$K$10</f>
        <v>11301.580666666667</v>
      </c>
      <c r="L229" s="181">
        <f>J229/$L$10</f>
        <v>616.44985454545451</v>
      </c>
      <c r="M229" s="181">
        <f>J229/$M$10</f>
        <v>3082.2492727272725</v>
      </c>
      <c r="N229" s="181">
        <f>J229/$N$10</f>
        <v>82.193313939393931</v>
      </c>
      <c r="P229" s="181">
        <f>0.1*C229</f>
        <v>9925.4000000000015</v>
      </c>
      <c r="Q229" s="181">
        <f>0.1*J229</f>
        <v>13561.8968</v>
      </c>
      <c r="R229" s="229"/>
    </row>
    <row r="230" spans="1:18">
      <c r="A230" s="257" t="s">
        <v>281</v>
      </c>
      <c r="B230" s="258" t="s">
        <v>267</v>
      </c>
      <c r="C230" s="259">
        <v>99254</v>
      </c>
      <c r="D230" s="246">
        <v>2162</v>
      </c>
      <c r="E230" s="246">
        <f>C230+D230</f>
        <v>101416</v>
      </c>
      <c r="F230" s="181">
        <f>IF(E230&gt;$L$5,$N$5*(E230-$L$5)+$N$4*($L$5-$L$4)+$N$3*($L$4-$L$1),IF($L$5&gt;E230&gt;$L$4,$N$4*(E230-$L$4)+$N$3*($L$4-$L$1),0))</f>
        <v>12804.192000000001</v>
      </c>
      <c r="G230" s="247">
        <f>E230*$G$10</f>
        <v>20891.696</v>
      </c>
      <c r="H230" s="247">
        <f>E230/100*0.5</f>
        <v>507.08</v>
      </c>
      <c r="I230" s="247">
        <f>F230+G230+H230</f>
        <v>34202.968</v>
      </c>
      <c r="J230" s="246">
        <f>E230+I230</f>
        <v>135618.968</v>
      </c>
      <c r="K230" s="181">
        <f>J230/$K$10</f>
        <v>11301.580666666667</v>
      </c>
      <c r="L230" s="181">
        <f>J230/$L$10</f>
        <v>616.44985454545451</v>
      </c>
      <c r="M230" s="181">
        <f>J230/$M$10</f>
        <v>3082.2492727272725</v>
      </c>
      <c r="N230" s="181">
        <f>J230/$N$10</f>
        <v>82.193313939393931</v>
      </c>
      <c r="P230" s="181">
        <f>0.1*C230</f>
        <v>9925.4000000000015</v>
      </c>
      <c r="Q230" s="181">
        <f>0.1*J230</f>
        <v>13561.8968</v>
      </c>
      <c r="R230" s="229"/>
    </row>
    <row r="231" spans="1:18">
      <c r="A231" s="257" t="s">
        <v>281</v>
      </c>
      <c r="B231" s="258" t="s">
        <v>268</v>
      </c>
      <c r="C231" s="259">
        <v>99254</v>
      </c>
      <c r="D231" s="246">
        <v>2162</v>
      </c>
      <c r="E231" s="246">
        <f>C231+D231</f>
        <v>101416</v>
      </c>
      <c r="F231" s="181">
        <f>IF(E231&gt;$L$5,$N$5*(E231-$L$5)+$N$4*($L$5-$L$4)+$N$3*($L$4-$L$1),IF($L$5&gt;E231&gt;$L$4,$N$4*(E231-$L$4)+$N$3*($L$4-$L$1),0))</f>
        <v>12804.192000000001</v>
      </c>
      <c r="G231" s="247">
        <f>E231*$G$10</f>
        <v>20891.696</v>
      </c>
      <c r="H231" s="247">
        <f>E231/100*0.5</f>
        <v>507.08</v>
      </c>
      <c r="I231" s="247">
        <f>F231+G231+H231</f>
        <v>34202.968</v>
      </c>
      <c r="J231" s="246">
        <f>E231+I231</f>
        <v>135618.968</v>
      </c>
      <c r="K231" s="181">
        <f>J231/$K$10</f>
        <v>11301.580666666667</v>
      </c>
      <c r="L231" s="181">
        <f>J231/$L$10</f>
        <v>616.44985454545451</v>
      </c>
      <c r="M231" s="181">
        <f>J231/$M$10</f>
        <v>3082.2492727272725</v>
      </c>
      <c r="N231" s="181">
        <f>J231/$N$10</f>
        <v>82.193313939393931</v>
      </c>
      <c r="P231" s="181">
        <f>0.1*C231</f>
        <v>9925.4000000000015</v>
      </c>
      <c r="Q231" s="181">
        <f>0.1*J231</f>
        <v>13561.8968</v>
      </c>
      <c r="R231" s="229"/>
    </row>
    <row r="232" spans="1:18">
      <c r="A232" s="257" t="s">
        <v>281</v>
      </c>
      <c r="B232" s="258" t="s">
        <v>269</v>
      </c>
      <c r="C232" s="259">
        <v>105042</v>
      </c>
      <c r="D232" s="246">
        <v>2162</v>
      </c>
      <c r="E232" s="246">
        <f>C232+D232</f>
        <v>107204</v>
      </c>
      <c r="F232" s="181">
        <f>IF(E232&gt;$L$5,$N$5*(E232-$L$5)+$N$4*($L$5-$L$4)+$N$3*($L$4-$L$1),IF($L$5&gt;E232&gt;$L$4,$N$4*(E232-$L$4)+$N$3*($L$4-$L$1),0))</f>
        <v>13602.936000000002</v>
      </c>
      <c r="G232" s="247">
        <f>E232*$G$10</f>
        <v>22084.023999999998</v>
      </c>
      <c r="H232" s="247">
        <f>E232/100*0.5</f>
        <v>536.02</v>
      </c>
      <c r="I232" s="247">
        <f>F232+G232+H232</f>
        <v>36222.979999999996</v>
      </c>
      <c r="J232" s="246">
        <f>E232+I232</f>
        <v>143426.97999999998</v>
      </c>
      <c r="K232" s="181">
        <f>J232/$K$10</f>
        <v>11952.248333333331</v>
      </c>
      <c r="L232" s="181">
        <f>J232/$L$10</f>
        <v>651.94081818181814</v>
      </c>
      <c r="M232" s="181">
        <f>J232/$M$10</f>
        <v>3259.7040909090906</v>
      </c>
      <c r="N232" s="181">
        <f>J232/$N$10</f>
        <v>86.925442424242419</v>
      </c>
      <c r="P232" s="181">
        <f>0.1*C232</f>
        <v>10504.2</v>
      </c>
      <c r="Q232" s="181">
        <f>0.1*J232</f>
        <v>14342.697999999999</v>
      </c>
      <c r="R232" s="229"/>
    </row>
    <row r="233" spans="1:18">
      <c r="A233" s="257"/>
      <c r="B233" s="258"/>
      <c r="C233" s="259"/>
      <c r="D233" s="246"/>
      <c r="E233" s="246"/>
      <c r="F233" s="181"/>
      <c r="G233" s="247"/>
      <c r="H233" s="247"/>
      <c r="I233" s="247"/>
      <c r="J233" s="246"/>
      <c r="K233" s="181"/>
      <c r="L233" s="181"/>
      <c r="M233" s="181"/>
      <c r="N233" s="181"/>
      <c r="P233" s="181"/>
      <c r="Q233" s="181"/>
      <c r="R233" s="229"/>
    </row>
    <row r="234" spans="1:18">
      <c r="A234" s="257"/>
      <c r="B234" s="258"/>
      <c r="C234" s="259"/>
      <c r="D234" s="246"/>
      <c r="E234" s="246"/>
      <c r="F234" s="181"/>
      <c r="G234" s="247"/>
      <c r="H234" s="247"/>
      <c r="I234" s="247"/>
      <c r="J234" s="246"/>
      <c r="K234" s="181"/>
      <c r="L234" s="181"/>
      <c r="M234" s="181"/>
      <c r="N234" s="181"/>
      <c r="P234" s="181"/>
      <c r="Q234" s="181"/>
      <c r="R234" s="229"/>
    </row>
    <row r="235" spans="1:18">
      <c r="A235" s="257" t="s">
        <v>282</v>
      </c>
      <c r="B235" s="258" t="s">
        <v>221</v>
      </c>
      <c r="C235" s="259">
        <v>87665</v>
      </c>
      <c r="D235" s="246">
        <v>2162</v>
      </c>
      <c r="E235" s="246">
        <f>C235+D235</f>
        <v>89827</v>
      </c>
      <c r="F235" s="181">
        <f>IF(E235&gt;$L$5,$N$5*(E235-$L$5)+$N$4*($L$5-$L$4)+$N$3*($L$4-$L$1),IF($L$5&gt;E235&gt;$L$4,$N$4*(E235-$L$4)+$N$3*($L$4-$L$1),0))</f>
        <v>11204.91</v>
      </c>
      <c r="G235" s="247">
        <f>E235*$G$10</f>
        <v>18504.361999999997</v>
      </c>
      <c r="H235" s="247">
        <f>E235/100*0.5</f>
        <v>449.135</v>
      </c>
      <c r="I235" s="247">
        <f>F235+G235+H235</f>
        <v>30158.406999999996</v>
      </c>
      <c r="J235" s="246">
        <f>E235+I235</f>
        <v>119985.40699999999</v>
      </c>
      <c r="K235" s="181">
        <f>J235/$K$10</f>
        <v>9998.7839166666654</v>
      </c>
      <c r="L235" s="181">
        <f>J235/$L$10</f>
        <v>545.38821363636362</v>
      </c>
      <c r="M235" s="181">
        <f>J235/$M$10</f>
        <v>2726.9410681818181</v>
      </c>
      <c r="N235" s="181">
        <f>J235/$N$10</f>
        <v>72.718428484848474</v>
      </c>
      <c r="P235" s="181">
        <f>0.1*C235</f>
        <v>8766.5</v>
      </c>
      <c r="Q235" s="181">
        <f>0.1*J235</f>
        <v>11998.5407</v>
      </c>
      <c r="R235" s="229"/>
    </row>
    <row r="236" spans="1:18">
      <c r="A236" s="257" t="s">
        <v>282</v>
      </c>
      <c r="B236" s="258" t="s">
        <v>257</v>
      </c>
      <c r="C236" s="259">
        <v>87665</v>
      </c>
      <c r="D236" s="246">
        <v>2162</v>
      </c>
      <c r="E236" s="246">
        <f>C236+D236</f>
        <v>89827</v>
      </c>
      <c r="F236" s="181">
        <f>IF(E236&gt;$L$5,$N$5*(E236-$L$5)+$N$4*($L$5-$L$4)+$N$3*($L$4-$L$1),IF($L$5&gt;E236&gt;$L$4,$N$4*(E236-$L$4)+$N$3*($L$4-$L$1),0))</f>
        <v>11204.91</v>
      </c>
      <c r="G236" s="247">
        <f>E236*$G$10</f>
        <v>18504.361999999997</v>
      </c>
      <c r="H236" s="247">
        <f>E236/100*0.5</f>
        <v>449.135</v>
      </c>
      <c r="I236" s="247">
        <f>F236+G236+H236</f>
        <v>30158.406999999996</v>
      </c>
      <c r="J236" s="246">
        <f>E236+I236</f>
        <v>119985.40699999999</v>
      </c>
      <c r="K236" s="181">
        <f>J236/$K$10</f>
        <v>9998.7839166666654</v>
      </c>
      <c r="L236" s="181">
        <f>J236/$L$10</f>
        <v>545.38821363636362</v>
      </c>
      <c r="M236" s="181">
        <f>J236/$M$10</f>
        <v>2726.9410681818181</v>
      </c>
      <c r="N236" s="181">
        <f>J236/$N$10</f>
        <v>72.718428484848474</v>
      </c>
      <c r="P236" s="181">
        <f>0.1*C236</f>
        <v>8766.5</v>
      </c>
      <c r="Q236" s="181">
        <f>0.1*J236</f>
        <v>11998.5407</v>
      </c>
      <c r="R236" s="229"/>
    </row>
    <row r="237" spans="1:18">
      <c r="A237" s="257" t="s">
        <v>282</v>
      </c>
      <c r="B237" s="258" t="s">
        <v>258</v>
      </c>
      <c r="C237" s="259">
        <v>87665</v>
      </c>
      <c r="D237" s="246">
        <v>2162</v>
      </c>
      <c r="E237" s="246">
        <f>C237+D237</f>
        <v>89827</v>
      </c>
      <c r="F237" s="181">
        <f>IF(E237&gt;$L$5,$N$5*(E237-$L$5)+$N$4*($L$5-$L$4)+$N$3*($L$4-$L$1),IF($L$5&gt;E237&gt;$L$4,$N$4*(E237-$L$4)+$N$3*($L$4-$L$1),0))</f>
        <v>11204.91</v>
      </c>
      <c r="G237" s="247">
        <f>E237*$G$10</f>
        <v>18504.361999999997</v>
      </c>
      <c r="H237" s="247">
        <f>E237/100*0.5</f>
        <v>449.135</v>
      </c>
      <c r="I237" s="247">
        <f>F237+G237+H237</f>
        <v>30158.406999999996</v>
      </c>
      <c r="J237" s="246">
        <f>E237+I237</f>
        <v>119985.40699999999</v>
      </c>
      <c r="K237" s="181">
        <f>J237/$K$10</f>
        <v>9998.7839166666654</v>
      </c>
      <c r="L237" s="181">
        <f>J237/$L$10</f>
        <v>545.38821363636362</v>
      </c>
      <c r="M237" s="181">
        <f>J237/$M$10</f>
        <v>2726.9410681818181</v>
      </c>
      <c r="N237" s="181">
        <f>J237/$N$10</f>
        <v>72.718428484848474</v>
      </c>
      <c r="P237" s="181">
        <f>0.1*C237</f>
        <v>8766.5</v>
      </c>
      <c r="Q237" s="181">
        <f>0.1*J237</f>
        <v>11998.5407</v>
      </c>
      <c r="R237" s="229"/>
    </row>
    <row r="238" spans="1:18">
      <c r="A238" s="257" t="s">
        <v>282</v>
      </c>
      <c r="B238" s="258" t="s">
        <v>259</v>
      </c>
      <c r="C238" s="259">
        <v>93459</v>
      </c>
      <c r="D238" s="246">
        <v>2162</v>
      </c>
      <c r="E238" s="246">
        <f>C238+D238</f>
        <v>95621</v>
      </c>
      <c r="F238" s="181">
        <f>IF(E238&gt;$L$5,$N$5*(E238-$L$5)+$N$4*($L$5-$L$4)+$N$3*($L$4-$L$1),IF($L$5&gt;E238&gt;$L$4,$N$4*(E238-$L$4)+$N$3*($L$4-$L$1),0))</f>
        <v>12004.482</v>
      </c>
      <c r="G238" s="247">
        <f>E238*$G$10</f>
        <v>19697.926</v>
      </c>
      <c r="H238" s="247">
        <f>E238/100*0.5</f>
        <v>478.105</v>
      </c>
      <c r="I238" s="247">
        <f>F238+G238+H238</f>
        <v>32180.513</v>
      </c>
      <c r="J238" s="246">
        <f>E238+I238</f>
        <v>127801.513</v>
      </c>
      <c r="K238" s="181">
        <f>J238/$K$10</f>
        <v>10650.126083333334</v>
      </c>
      <c r="L238" s="181">
        <f>J238/$L$10</f>
        <v>580.91596818181824</v>
      </c>
      <c r="M238" s="181">
        <f>J238/$M$10</f>
        <v>2904.5798409090912</v>
      </c>
      <c r="N238" s="181">
        <f>J238/$N$10</f>
        <v>77.455462424242427</v>
      </c>
      <c r="P238" s="181">
        <f>0.1*C238</f>
        <v>9345.9</v>
      </c>
      <c r="Q238" s="181">
        <f>0.1*J238</f>
        <v>12780.151300000001</v>
      </c>
      <c r="R238" s="229"/>
    </row>
    <row r="239" spans="1:18">
      <c r="A239" s="257" t="s">
        <v>282</v>
      </c>
      <c r="B239" s="258" t="s">
        <v>264</v>
      </c>
      <c r="C239" s="259">
        <v>99254</v>
      </c>
      <c r="D239" s="246">
        <v>2162</v>
      </c>
      <c r="E239" s="246">
        <f>C239+D239</f>
        <v>101416</v>
      </c>
      <c r="F239" s="181">
        <f>IF(E239&gt;$L$5,$N$5*(E239-$L$5)+$N$4*($L$5-$L$4)+$N$3*($L$4-$L$1),IF($L$5&gt;E239&gt;$L$4,$N$4*(E239-$L$4)+$N$3*($L$4-$L$1),0))</f>
        <v>12804.192000000001</v>
      </c>
      <c r="G239" s="247">
        <f>E239*$G$10</f>
        <v>20891.696</v>
      </c>
      <c r="H239" s="247">
        <f>E239/100*0.5</f>
        <v>507.08</v>
      </c>
      <c r="I239" s="247">
        <f>F239+G239+H239</f>
        <v>34202.968</v>
      </c>
      <c r="J239" s="246">
        <f>E239+I239</f>
        <v>135618.968</v>
      </c>
      <c r="K239" s="181">
        <f>J239/$K$10</f>
        <v>11301.580666666667</v>
      </c>
      <c r="L239" s="181">
        <f>J239/$L$10</f>
        <v>616.44985454545451</v>
      </c>
      <c r="M239" s="181">
        <f>J239/$M$10</f>
        <v>3082.2492727272725</v>
      </c>
      <c r="N239" s="181">
        <f>J239/$N$10</f>
        <v>82.193313939393931</v>
      </c>
      <c r="P239" s="181">
        <f>0.1*C239</f>
        <v>9925.4000000000015</v>
      </c>
      <c r="Q239" s="181">
        <f>0.1*J239</f>
        <v>13561.8968</v>
      </c>
      <c r="R239" s="229"/>
    </row>
    <row r="240" spans="1:18">
      <c r="A240" s="257" t="s">
        <v>282</v>
      </c>
      <c r="B240" s="258" t="s">
        <v>265</v>
      </c>
      <c r="C240" s="259">
        <v>99254</v>
      </c>
      <c r="D240" s="246">
        <v>2162</v>
      </c>
      <c r="E240" s="246">
        <f>C240+D240</f>
        <v>101416</v>
      </c>
      <c r="F240" s="181">
        <f>IF(E240&gt;$L$5,$N$5*(E240-$L$5)+$N$4*($L$5-$L$4)+$N$3*($L$4-$L$1),IF($L$5&gt;E240&gt;$L$4,$N$4*(E240-$L$4)+$N$3*($L$4-$L$1),0))</f>
        <v>12804.192000000001</v>
      </c>
      <c r="G240" s="247">
        <f>E240*$G$10</f>
        <v>20891.696</v>
      </c>
      <c r="H240" s="247">
        <f>E240/100*0.5</f>
        <v>507.08</v>
      </c>
      <c r="I240" s="247">
        <f>F240+G240+H240</f>
        <v>34202.968</v>
      </c>
      <c r="J240" s="246">
        <f>E240+I240</f>
        <v>135618.968</v>
      </c>
      <c r="K240" s="181">
        <f>J240/$K$10</f>
        <v>11301.580666666667</v>
      </c>
      <c r="L240" s="181">
        <f>J240/$L$10</f>
        <v>616.44985454545451</v>
      </c>
      <c r="M240" s="181">
        <f>J240/$M$10</f>
        <v>3082.2492727272725</v>
      </c>
      <c r="N240" s="181">
        <f>J240/$N$10</f>
        <v>82.193313939393931</v>
      </c>
      <c r="P240" s="181">
        <f>0.1*C240</f>
        <v>9925.4000000000015</v>
      </c>
      <c r="Q240" s="181">
        <f>0.1*J240</f>
        <v>13561.8968</v>
      </c>
      <c r="R240" s="229"/>
    </row>
    <row r="241" spans="1:18">
      <c r="A241" s="257" t="s">
        <v>282</v>
      </c>
      <c r="B241" s="258" t="s">
        <v>266</v>
      </c>
      <c r="C241" s="259">
        <v>99254</v>
      </c>
      <c r="D241" s="246">
        <v>2162</v>
      </c>
      <c r="E241" s="246">
        <f>C241+D241</f>
        <v>101416</v>
      </c>
      <c r="F241" s="181">
        <f>IF(E241&gt;$L$5,$N$5*(E241-$L$5)+$N$4*($L$5-$L$4)+$N$3*($L$4-$L$1),IF($L$5&gt;E241&gt;$L$4,$N$4*(E241-$L$4)+$N$3*($L$4-$L$1),0))</f>
        <v>12804.192000000001</v>
      </c>
      <c r="G241" s="247">
        <f>E241*$G$10</f>
        <v>20891.696</v>
      </c>
      <c r="H241" s="247">
        <f>E241/100*0.5</f>
        <v>507.08</v>
      </c>
      <c r="I241" s="247">
        <f>F241+G241+H241</f>
        <v>34202.968</v>
      </c>
      <c r="J241" s="246">
        <f>E241+I241</f>
        <v>135618.968</v>
      </c>
      <c r="K241" s="181">
        <f>J241/$K$10</f>
        <v>11301.580666666667</v>
      </c>
      <c r="L241" s="181">
        <f>J241/$L$10</f>
        <v>616.44985454545451</v>
      </c>
      <c r="M241" s="181">
        <f>J241/$M$10</f>
        <v>3082.2492727272725</v>
      </c>
      <c r="N241" s="181">
        <f>J241/$N$10</f>
        <v>82.193313939393931</v>
      </c>
      <c r="P241" s="181">
        <f>0.1*C241</f>
        <v>9925.4000000000015</v>
      </c>
      <c r="Q241" s="181">
        <f>0.1*J241</f>
        <v>13561.8968</v>
      </c>
      <c r="R241" s="229"/>
    </row>
    <row r="242" spans="1:18">
      <c r="A242" s="257" t="s">
        <v>282</v>
      </c>
      <c r="B242" s="258" t="s">
        <v>267</v>
      </c>
      <c r="C242" s="259">
        <v>99254</v>
      </c>
      <c r="D242" s="246">
        <v>2162</v>
      </c>
      <c r="E242" s="246">
        <f>C242+D242</f>
        <v>101416</v>
      </c>
      <c r="F242" s="181">
        <f>IF(E242&gt;$L$5,$N$5*(E242-$L$5)+$N$4*($L$5-$L$4)+$N$3*($L$4-$L$1),IF($L$5&gt;E242&gt;$L$4,$N$4*(E242-$L$4)+$N$3*($L$4-$L$1),0))</f>
        <v>12804.192000000001</v>
      </c>
      <c r="G242" s="247">
        <f>E242*$G$10</f>
        <v>20891.696</v>
      </c>
      <c r="H242" s="247">
        <f>E242/100*0.5</f>
        <v>507.08</v>
      </c>
      <c r="I242" s="247">
        <f>F242+G242+H242</f>
        <v>34202.968</v>
      </c>
      <c r="J242" s="246">
        <f>E242+I242</f>
        <v>135618.968</v>
      </c>
      <c r="K242" s="181">
        <f>J242/$K$10</f>
        <v>11301.580666666667</v>
      </c>
      <c r="L242" s="181">
        <f>J242/$L$10</f>
        <v>616.44985454545451</v>
      </c>
      <c r="M242" s="181">
        <f>J242/$M$10</f>
        <v>3082.2492727272725</v>
      </c>
      <c r="N242" s="181">
        <f>J242/$N$10</f>
        <v>82.193313939393931</v>
      </c>
      <c r="P242" s="181">
        <f>0.1*C242</f>
        <v>9925.4000000000015</v>
      </c>
      <c r="Q242" s="181">
        <f>0.1*J242</f>
        <v>13561.8968</v>
      </c>
      <c r="R242" s="229"/>
    </row>
    <row r="243" spans="1:18">
      <c r="A243" s="257" t="s">
        <v>282</v>
      </c>
      <c r="B243" s="258" t="s">
        <v>269</v>
      </c>
      <c r="C243" s="259">
        <v>105042</v>
      </c>
      <c r="D243" s="246">
        <v>2162</v>
      </c>
      <c r="E243" s="246">
        <f>C243+D243</f>
        <v>107204</v>
      </c>
      <c r="F243" s="181">
        <f>IF(E243&gt;$L$5,$N$5*(E243-$L$5)+$N$4*($L$5-$L$4)+$N$3*($L$4-$L$1),IF($L$5&gt;E243&gt;$L$4,$N$4*(E243-$L$4)+$N$3*($L$4-$L$1),0))</f>
        <v>13602.936000000002</v>
      </c>
      <c r="G243" s="247">
        <f>E243*$G$10</f>
        <v>22084.023999999998</v>
      </c>
      <c r="H243" s="247">
        <f>E243/100*0.5</f>
        <v>536.02</v>
      </c>
      <c r="I243" s="247">
        <f>F243+G243+H243</f>
        <v>36222.979999999996</v>
      </c>
      <c r="J243" s="246">
        <f>E243+I243</f>
        <v>143426.97999999998</v>
      </c>
      <c r="K243" s="181">
        <f>J243/$K$10</f>
        <v>11952.248333333331</v>
      </c>
      <c r="L243" s="181">
        <f>J243/$L$10</f>
        <v>651.94081818181814</v>
      </c>
      <c r="M243" s="181">
        <f>J243/$M$10</f>
        <v>3259.7040909090906</v>
      </c>
      <c r="N243" s="181">
        <f>J243/$N$10</f>
        <v>86.925442424242419</v>
      </c>
      <c r="P243" s="181">
        <f>0.1*C243</f>
        <v>10504.2</v>
      </c>
      <c r="Q243" s="181">
        <f>0.1*J243</f>
        <v>14342.697999999999</v>
      </c>
      <c r="R243" s="229"/>
    </row>
    <row r="244" spans="1:18">
      <c r="A244" s="257"/>
      <c r="B244" s="258"/>
      <c r="C244" s="259"/>
      <c r="D244" s="246"/>
      <c r="E244" s="246"/>
      <c r="F244" s="181"/>
      <c r="G244" s="247"/>
      <c r="H244" s="247"/>
      <c r="I244" s="247"/>
      <c r="J244" s="246"/>
      <c r="K244" s="181"/>
      <c r="L244" s="181"/>
      <c r="M244" s="181"/>
      <c r="N244" s="181"/>
      <c r="P244" s="181"/>
      <c r="Q244" s="181"/>
      <c r="R244" s="229"/>
    </row>
    <row r="245" spans="1:18">
      <c r="A245" s="257"/>
      <c r="B245" s="258"/>
      <c r="C245" s="259"/>
      <c r="D245" s="246"/>
      <c r="E245" s="246"/>
      <c r="F245" s="181"/>
      <c r="G245" s="247"/>
      <c r="H245" s="247"/>
      <c r="I245" s="247"/>
      <c r="J245" s="246"/>
      <c r="K245" s="181"/>
      <c r="L245" s="181"/>
      <c r="M245" s="181"/>
      <c r="N245" s="181"/>
      <c r="P245" s="181"/>
      <c r="Q245" s="181"/>
      <c r="R245" s="229"/>
    </row>
    <row r="246" spans="1:18">
      <c r="A246" s="257" t="s">
        <v>283</v>
      </c>
      <c r="B246" s="258" t="s">
        <v>221</v>
      </c>
      <c r="C246" s="259">
        <v>87665</v>
      </c>
      <c r="D246" s="246">
        <v>2162</v>
      </c>
      <c r="E246" s="246">
        <f>C246+D246</f>
        <v>89827</v>
      </c>
      <c r="F246" s="181">
        <f>IF(E246&gt;$L$5,$N$5*(E246-$L$5)+$N$4*($L$5-$L$4)+$N$3*($L$4-$L$1),IF($L$5&gt;E246&gt;$L$4,$N$4*(E246-$L$4)+$N$3*($L$4-$L$1),0))</f>
        <v>11204.91</v>
      </c>
      <c r="G246" s="247">
        <f>E246*$G$10</f>
        <v>18504.361999999997</v>
      </c>
      <c r="H246" s="247">
        <f>E246/100*0.5</f>
        <v>449.135</v>
      </c>
      <c r="I246" s="247">
        <f>F246+G246+H246</f>
        <v>30158.406999999996</v>
      </c>
      <c r="J246" s="246">
        <f>E246+I246</f>
        <v>119985.40699999999</v>
      </c>
      <c r="K246" s="181">
        <f>J246/$K$10</f>
        <v>9998.7839166666654</v>
      </c>
      <c r="L246" s="181">
        <f>J246/$L$10</f>
        <v>545.38821363636362</v>
      </c>
      <c r="M246" s="181">
        <f>J246/$M$10</f>
        <v>2726.9410681818181</v>
      </c>
      <c r="N246" s="181">
        <f>J246/$N$10</f>
        <v>72.718428484848474</v>
      </c>
      <c r="P246" s="181">
        <f>0.1*C246</f>
        <v>8766.5</v>
      </c>
      <c r="Q246" s="181">
        <f>0.1*J246</f>
        <v>11998.5407</v>
      </c>
      <c r="R246" s="229"/>
    </row>
    <row r="247" spans="1:18">
      <c r="A247" s="257" t="s">
        <v>283</v>
      </c>
      <c r="B247" s="258" t="s">
        <v>257</v>
      </c>
      <c r="C247" s="259">
        <v>87665</v>
      </c>
      <c r="D247" s="246">
        <v>2162</v>
      </c>
      <c r="E247" s="246">
        <f>C247+D247</f>
        <v>89827</v>
      </c>
      <c r="F247" s="181">
        <f>IF(E247&gt;$L$5,$N$5*(E247-$L$5)+$N$4*($L$5-$L$4)+$N$3*($L$4-$L$1),IF($L$5&gt;E247&gt;$L$4,$N$4*(E247-$L$4)+$N$3*($L$4-$L$1),0))</f>
        <v>11204.91</v>
      </c>
      <c r="G247" s="247">
        <f>E247*$G$10</f>
        <v>18504.361999999997</v>
      </c>
      <c r="H247" s="247">
        <f>E247/100*0.5</f>
        <v>449.135</v>
      </c>
      <c r="I247" s="247">
        <f>F247+G247+H247</f>
        <v>30158.406999999996</v>
      </c>
      <c r="J247" s="246">
        <f>E247+I247</f>
        <v>119985.40699999999</v>
      </c>
      <c r="K247" s="181">
        <f>J247/$K$10</f>
        <v>9998.7839166666654</v>
      </c>
      <c r="L247" s="181">
        <f>J247/$L$10</f>
        <v>545.38821363636362</v>
      </c>
      <c r="M247" s="181">
        <f>J247/$M$10</f>
        <v>2726.9410681818181</v>
      </c>
      <c r="N247" s="181">
        <f>J247/$N$10</f>
        <v>72.718428484848474</v>
      </c>
      <c r="P247" s="181">
        <f>0.1*C247</f>
        <v>8766.5</v>
      </c>
      <c r="Q247" s="181">
        <f>0.1*J247</f>
        <v>11998.5407</v>
      </c>
      <c r="R247" s="229"/>
    </row>
    <row r="248" spans="1:18">
      <c r="A248" s="257" t="s">
        <v>283</v>
      </c>
      <c r="B248" s="258" t="s">
        <v>258</v>
      </c>
      <c r="C248" s="259">
        <v>87665</v>
      </c>
      <c r="D248" s="246">
        <v>2162</v>
      </c>
      <c r="E248" s="246">
        <f>C248+D248</f>
        <v>89827</v>
      </c>
      <c r="F248" s="181">
        <f>IF(E248&gt;$L$5,$N$5*(E248-$L$5)+$N$4*($L$5-$L$4)+$N$3*($L$4-$L$1),IF($L$5&gt;E248&gt;$L$4,$N$4*(E248-$L$4)+$N$3*($L$4-$L$1),0))</f>
        <v>11204.91</v>
      </c>
      <c r="G248" s="247">
        <f>E248*$G$10</f>
        <v>18504.361999999997</v>
      </c>
      <c r="H248" s="247">
        <f>E248/100*0.5</f>
        <v>449.135</v>
      </c>
      <c r="I248" s="247">
        <f>F248+G248+H248</f>
        <v>30158.406999999996</v>
      </c>
      <c r="J248" s="246">
        <f>E248+I248</f>
        <v>119985.40699999999</v>
      </c>
      <c r="K248" s="181">
        <f>J248/$K$10</f>
        <v>9998.7839166666654</v>
      </c>
      <c r="L248" s="181">
        <f>J248/$L$10</f>
        <v>545.38821363636362</v>
      </c>
      <c r="M248" s="181">
        <f>J248/$M$10</f>
        <v>2726.9410681818181</v>
      </c>
      <c r="N248" s="181">
        <f>J248/$N$10</f>
        <v>72.718428484848474</v>
      </c>
      <c r="P248" s="181">
        <f>0.1*C248</f>
        <v>8766.5</v>
      </c>
      <c r="Q248" s="181">
        <f>0.1*J248</f>
        <v>11998.5407</v>
      </c>
      <c r="R248" s="229"/>
    </row>
    <row r="249" spans="1:18">
      <c r="A249" s="257" t="s">
        <v>283</v>
      </c>
      <c r="B249" s="258" t="s">
        <v>259</v>
      </c>
      <c r="C249" s="259">
        <v>93459</v>
      </c>
      <c r="D249" s="246">
        <v>2162</v>
      </c>
      <c r="E249" s="246">
        <f>C249+D249</f>
        <v>95621</v>
      </c>
      <c r="F249" s="181">
        <f>IF(E249&gt;$L$5,$N$5*(E249-$L$5)+$N$4*($L$5-$L$4)+$N$3*($L$4-$L$1),IF($L$5&gt;E249&gt;$L$4,$N$4*(E249-$L$4)+$N$3*($L$4-$L$1),0))</f>
        <v>12004.482</v>
      </c>
      <c r="G249" s="247">
        <f>E249*$G$10</f>
        <v>19697.926</v>
      </c>
      <c r="H249" s="247">
        <f>E249/100*0.5</f>
        <v>478.105</v>
      </c>
      <c r="I249" s="247">
        <f>F249+G249+H249</f>
        <v>32180.513</v>
      </c>
      <c r="J249" s="246">
        <f>E249+I249</f>
        <v>127801.513</v>
      </c>
      <c r="K249" s="181">
        <f>J249/$K$10</f>
        <v>10650.126083333334</v>
      </c>
      <c r="L249" s="181">
        <f>J249/$L$10</f>
        <v>580.91596818181824</v>
      </c>
      <c r="M249" s="181">
        <f>J249/$M$10</f>
        <v>2904.5798409090912</v>
      </c>
      <c r="N249" s="181">
        <f>J249/$N$10</f>
        <v>77.455462424242427</v>
      </c>
      <c r="P249" s="181">
        <f>0.1*C249</f>
        <v>9345.9</v>
      </c>
      <c r="Q249" s="181">
        <f>0.1*J249</f>
        <v>12780.151300000001</v>
      </c>
      <c r="R249" s="229"/>
    </row>
    <row r="250" spans="1:18">
      <c r="A250" s="257" t="s">
        <v>283</v>
      </c>
      <c r="B250" s="258" t="s">
        <v>264</v>
      </c>
      <c r="C250" s="259">
        <v>99254</v>
      </c>
      <c r="D250" s="246">
        <v>2162</v>
      </c>
      <c r="E250" s="246">
        <f>C250+D250</f>
        <v>101416</v>
      </c>
      <c r="F250" s="181">
        <f>IF(E250&gt;$L$5,$N$5*(E250-$L$5)+$N$4*($L$5-$L$4)+$N$3*($L$4-$L$1),IF($L$5&gt;E250&gt;$L$4,$N$4*(E250-$L$4)+$N$3*($L$4-$L$1),0))</f>
        <v>12804.192000000001</v>
      </c>
      <c r="G250" s="247">
        <f>E250*$G$10</f>
        <v>20891.696</v>
      </c>
      <c r="H250" s="247">
        <f>E250/100*0.5</f>
        <v>507.08</v>
      </c>
      <c r="I250" s="247">
        <f>F250+G250+H250</f>
        <v>34202.968</v>
      </c>
      <c r="J250" s="246">
        <f>E250+I250</f>
        <v>135618.968</v>
      </c>
      <c r="K250" s="181">
        <f>J250/$K$10</f>
        <v>11301.580666666667</v>
      </c>
      <c r="L250" s="181">
        <f>J250/$L$10</f>
        <v>616.44985454545451</v>
      </c>
      <c r="M250" s="181">
        <f>J250/$M$10</f>
        <v>3082.2492727272725</v>
      </c>
      <c r="N250" s="181">
        <f>J250/$N$10</f>
        <v>82.193313939393931</v>
      </c>
      <c r="P250" s="181">
        <f>0.1*C250</f>
        <v>9925.4000000000015</v>
      </c>
      <c r="Q250" s="181">
        <f>0.1*J250</f>
        <v>13561.8968</v>
      </c>
      <c r="R250" s="229"/>
    </row>
    <row r="251" spans="1:18">
      <c r="A251" s="257" t="s">
        <v>283</v>
      </c>
      <c r="B251" s="258" t="s">
        <v>265</v>
      </c>
      <c r="C251" s="259">
        <v>99254</v>
      </c>
      <c r="D251" s="246">
        <v>2162</v>
      </c>
      <c r="E251" s="246">
        <f>C251+D251</f>
        <v>101416</v>
      </c>
      <c r="F251" s="181">
        <f>IF(E251&gt;$L$5,$N$5*(E251-$L$5)+$N$4*($L$5-$L$4)+$N$3*($L$4-$L$1),IF($L$5&gt;E251&gt;$L$4,$N$4*(E251-$L$4)+$N$3*($L$4-$L$1),0))</f>
        <v>12804.192000000001</v>
      </c>
      <c r="G251" s="247">
        <f>E251*$G$10</f>
        <v>20891.696</v>
      </c>
      <c r="H251" s="247">
        <f>E251/100*0.5</f>
        <v>507.08</v>
      </c>
      <c r="I251" s="247">
        <f>F251+G251+H251</f>
        <v>34202.968</v>
      </c>
      <c r="J251" s="246">
        <f>E251+I251</f>
        <v>135618.968</v>
      </c>
      <c r="K251" s="181">
        <f>J251/$K$10</f>
        <v>11301.580666666667</v>
      </c>
      <c r="L251" s="181">
        <f>J251/$L$10</f>
        <v>616.44985454545451</v>
      </c>
      <c r="M251" s="181">
        <f>J251/$M$10</f>
        <v>3082.2492727272725</v>
      </c>
      <c r="N251" s="181">
        <f>J251/$N$10</f>
        <v>82.193313939393931</v>
      </c>
      <c r="P251" s="181">
        <f>0.1*C251</f>
        <v>9925.4000000000015</v>
      </c>
      <c r="Q251" s="181">
        <f>0.1*J251</f>
        <v>13561.8968</v>
      </c>
      <c r="R251" s="229"/>
    </row>
    <row r="252" spans="1:18">
      <c r="A252" s="257" t="s">
        <v>283</v>
      </c>
      <c r="B252" s="258" t="s">
        <v>266</v>
      </c>
      <c r="C252" s="259">
        <v>99254</v>
      </c>
      <c r="D252" s="246">
        <v>2162</v>
      </c>
      <c r="E252" s="246">
        <f>C252+D252</f>
        <v>101416</v>
      </c>
      <c r="F252" s="181">
        <f>IF(E252&gt;$L$5,$N$5*(E252-$L$5)+$N$4*($L$5-$L$4)+$N$3*($L$4-$L$1),IF($L$5&gt;E252&gt;$L$4,$N$4*(E252-$L$4)+$N$3*($L$4-$L$1),0))</f>
        <v>12804.192000000001</v>
      </c>
      <c r="G252" s="247">
        <f>E252*$G$10</f>
        <v>20891.696</v>
      </c>
      <c r="H252" s="247">
        <f>E252/100*0.5</f>
        <v>507.08</v>
      </c>
      <c r="I252" s="247">
        <f>F252+G252+H252</f>
        <v>34202.968</v>
      </c>
      <c r="J252" s="246">
        <f>E252+I252</f>
        <v>135618.968</v>
      </c>
      <c r="K252" s="181">
        <f>J252/$K$10</f>
        <v>11301.580666666667</v>
      </c>
      <c r="L252" s="181">
        <f>J252/$L$10</f>
        <v>616.44985454545451</v>
      </c>
      <c r="M252" s="181">
        <f>J252/$M$10</f>
        <v>3082.2492727272725</v>
      </c>
      <c r="N252" s="181">
        <f>J252/$N$10</f>
        <v>82.193313939393931</v>
      </c>
      <c r="P252" s="181">
        <f>0.1*C252</f>
        <v>9925.4000000000015</v>
      </c>
      <c r="Q252" s="181">
        <f>0.1*J252</f>
        <v>13561.8968</v>
      </c>
      <c r="R252" s="229"/>
    </row>
    <row r="253" spans="1:18">
      <c r="A253" s="257" t="s">
        <v>283</v>
      </c>
      <c r="B253" s="258" t="s">
        <v>269</v>
      </c>
      <c r="C253" s="259">
        <v>105042</v>
      </c>
      <c r="D253" s="246">
        <v>2162</v>
      </c>
      <c r="E253" s="246">
        <f>C253+D253</f>
        <v>107204</v>
      </c>
      <c r="F253" s="181">
        <f>IF(E253&gt;$L$5,$N$5*(E253-$L$5)+$N$4*($L$5-$L$4)+$N$3*($L$4-$L$1),IF($L$5&gt;E253&gt;$L$4,$N$4*(E253-$L$4)+$N$3*($L$4-$L$1),0))</f>
        <v>13602.936000000002</v>
      </c>
      <c r="G253" s="247">
        <f>E253*$G$10</f>
        <v>22084.023999999998</v>
      </c>
      <c r="H253" s="247">
        <f>E253/100*0.5</f>
        <v>536.02</v>
      </c>
      <c r="I253" s="247">
        <f>F253+G253+H253</f>
        <v>36222.979999999996</v>
      </c>
      <c r="J253" s="246">
        <f>E253+I253</f>
        <v>143426.97999999998</v>
      </c>
      <c r="K253" s="181">
        <f>J253/$K$10</f>
        <v>11952.248333333331</v>
      </c>
      <c r="L253" s="181">
        <f>J253/$L$10</f>
        <v>651.94081818181814</v>
      </c>
      <c r="M253" s="181">
        <f>J253/$M$10</f>
        <v>3259.7040909090906</v>
      </c>
      <c r="N253" s="181">
        <f>J253/$N$10</f>
        <v>86.925442424242419</v>
      </c>
      <c r="P253" s="181">
        <f>0.1*C253</f>
        <v>10504.2</v>
      </c>
      <c r="Q253" s="181">
        <f>0.1*J253</f>
        <v>14342.697999999999</v>
      </c>
      <c r="R253" s="229"/>
    </row>
    <row r="254" spans="1:18">
      <c r="A254" s="257"/>
      <c r="B254" s="258"/>
      <c r="C254" s="259"/>
      <c r="D254" s="246"/>
      <c r="E254" s="246"/>
      <c r="F254" s="181"/>
      <c r="G254" s="247"/>
      <c r="H254" s="247"/>
      <c r="I254" s="247"/>
      <c r="J254" s="246"/>
      <c r="K254" s="181"/>
      <c r="L254" s="181"/>
      <c r="M254" s="181"/>
      <c r="N254" s="181"/>
      <c r="P254" s="181"/>
      <c r="Q254" s="181"/>
      <c r="R254" s="229"/>
    </row>
    <row r="255" spans="1:18">
      <c r="A255" s="257"/>
      <c r="B255" s="258"/>
      <c r="C255" s="259"/>
      <c r="D255" s="246"/>
      <c r="E255" s="246"/>
      <c r="F255" s="181"/>
      <c r="G255" s="247"/>
      <c r="H255" s="247"/>
      <c r="I255" s="247"/>
      <c r="J255" s="246"/>
      <c r="K255" s="181"/>
      <c r="L255" s="181"/>
      <c r="M255" s="181"/>
      <c r="N255" s="181"/>
      <c r="P255" s="181"/>
      <c r="Q255" s="181"/>
      <c r="R255" s="229"/>
    </row>
    <row r="256" spans="1:18">
      <c r="A256" s="257" t="s">
        <v>284</v>
      </c>
      <c r="B256" s="258" t="s">
        <v>257</v>
      </c>
      <c r="C256" s="259">
        <v>87665</v>
      </c>
      <c r="D256" s="246">
        <v>2162</v>
      </c>
      <c r="E256" s="246">
        <f>C256+D256</f>
        <v>89827</v>
      </c>
      <c r="F256" s="181">
        <f>IF(E256&gt;$L$5,$N$5*(E256-$L$5)+$N$4*($L$5-$L$4)+$N$3*($L$4-$L$1),IF($L$5&gt;E256&gt;$L$4,$N$4*(E256-$L$4)+$N$3*($L$4-$L$1),0))</f>
        <v>11204.91</v>
      </c>
      <c r="G256" s="247">
        <f>E256*$G$10</f>
        <v>18504.361999999997</v>
      </c>
      <c r="H256" s="247">
        <f>E256/100*0.5</f>
        <v>449.135</v>
      </c>
      <c r="I256" s="247">
        <f>F256+G256+H256</f>
        <v>30158.406999999996</v>
      </c>
      <c r="J256" s="246">
        <f>E256+I256</f>
        <v>119985.40699999999</v>
      </c>
      <c r="K256" s="181">
        <f>J256/$K$10</f>
        <v>9998.7839166666654</v>
      </c>
      <c r="L256" s="181">
        <f>J256/$L$10</f>
        <v>545.38821363636362</v>
      </c>
      <c r="M256" s="181">
        <f>J256/$M$10</f>
        <v>2726.9410681818181</v>
      </c>
      <c r="N256" s="181">
        <f>J256/$N$10</f>
        <v>72.718428484848474</v>
      </c>
      <c r="P256" s="181">
        <f>0.1*C256</f>
        <v>8766.5</v>
      </c>
      <c r="Q256" s="181">
        <f>0.1*J256</f>
        <v>11998.5407</v>
      </c>
      <c r="R256" s="229"/>
    </row>
    <row r="257" spans="1:18">
      <c r="A257" s="257" t="s">
        <v>284</v>
      </c>
      <c r="B257" s="258" t="s">
        <v>258</v>
      </c>
      <c r="C257" s="259">
        <v>87665</v>
      </c>
      <c r="D257" s="246">
        <v>2162</v>
      </c>
      <c r="E257" s="246">
        <f>C257+D257</f>
        <v>89827</v>
      </c>
      <c r="F257" s="181">
        <f>IF(E257&gt;$L$5,$N$5*(E257-$L$5)+$N$4*($L$5-$L$4)+$N$3*($L$4-$L$1),IF($L$5&gt;E257&gt;$L$4,$N$4*(E257-$L$4)+$N$3*($L$4-$L$1),0))</f>
        <v>11204.91</v>
      </c>
      <c r="G257" s="247">
        <f>E257*$G$10</f>
        <v>18504.361999999997</v>
      </c>
      <c r="H257" s="247">
        <f>E257/100*0.5</f>
        <v>449.135</v>
      </c>
      <c r="I257" s="247">
        <f>F257+G257+H257</f>
        <v>30158.406999999996</v>
      </c>
      <c r="J257" s="246">
        <f>E257+I257</f>
        <v>119985.40699999999</v>
      </c>
      <c r="K257" s="181">
        <f>J257/$K$10</f>
        <v>9998.7839166666654</v>
      </c>
      <c r="L257" s="181">
        <f>J257/$L$10</f>
        <v>545.38821363636362</v>
      </c>
      <c r="M257" s="181">
        <f>J257/$M$10</f>
        <v>2726.9410681818181</v>
      </c>
      <c r="N257" s="181">
        <f>J257/$N$10</f>
        <v>72.718428484848474</v>
      </c>
      <c r="P257" s="181">
        <f>0.1*C257</f>
        <v>8766.5</v>
      </c>
      <c r="Q257" s="181">
        <f>0.1*J257</f>
        <v>11998.5407</v>
      </c>
      <c r="R257" s="229"/>
    </row>
    <row r="258" spans="1:18">
      <c r="A258" s="257" t="s">
        <v>284</v>
      </c>
      <c r="B258" s="258" t="s">
        <v>259</v>
      </c>
      <c r="C258" s="259">
        <v>93459</v>
      </c>
      <c r="D258" s="246">
        <v>2162</v>
      </c>
      <c r="E258" s="246">
        <f>C258+D258</f>
        <v>95621</v>
      </c>
      <c r="F258" s="181">
        <f>IF(E258&gt;$L$5,$N$5*(E258-$L$5)+$N$4*($L$5-$L$4)+$N$3*($L$4-$L$1),IF($L$5&gt;E258&gt;$L$4,$N$4*(E258-$L$4)+$N$3*($L$4-$L$1),0))</f>
        <v>12004.482</v>
      </c>
      <c r="G258" s="247">
        <f>E258*$G$10</f>
        <v>19697.926</v>
      </c>
      <c r="H258" s="247">
        <f>E258/100*0.5</f>
        <v>478.105</v>
      </c>
      <c r="I258" s="247">
        <f>F258+G258+H258</f>
        <v>32180.513</v>
      </c>
      <c r="J258" s="246">
        <f>E258+I258</f>
        <v>127801.513</v>
      </c>
      <c r="K258" s="181">
        <f>J258/$K$10</f>
        <v>10650.126083333334</v>
      </c>
      <c r="L258" s="181">
        <f>J258/$L$10</f>
        <v>580.91596818181824</v>
      </c>
      <c r="M258" s="181">
        <f>J258/$M$10</f>
        <v>2904.5798409090912</v>
      </c>
      <c r="N258" s="181">
        <f>J258/$N$10</f>
        <v>77.455462424242427</v>
      </c>
      <c r="P258" s="181">
        <f>0.1*C258</f>
        <v>9345.9</v>
      </c>
      <c r="Q258" s="181">
        <f>0.1*J258</f>
        <v>12780.151300000001</v>
      </c>
      <c r="R258" s="229"/>
    </row>
    <row r="259" spans="1:18">
      <c r="A259" s="257" t="s">
        <v>284</v>
      </c>
      <c r="B259" s="258" t="s">
        <v>260</v>
      </c>
      <c r="C259" s="259">
        <v>93459</v>
      </c>
      <c r="D259" s="246">
        <v>2162</v>
      </c>
      <c r="E259" s="246">
        <f>C259+D259</f>
        <v>95621</v>
      </c>
      <c r="F259" s="181">
        <f>IF(E259&gt;$L$5,$N$5*(E259-$L$5)+$N$4*($L$5-$L$4)+$N$3*($L$4-$L$1),IF($L$5&gt;E259&gt;$L$4,$N$4*(E259-$L$4)+$N$3*($L$4-$L$1),0))</f>
        <v>12004.482</v>
      </c>
      <c r="G259" s="247">
        <f>E259*$G$10</f>
        <v>19697.926</v>
      </c>
      <c r="H259" s="247">
        <f>E259/100*0.5</f>
        <v>478.105</v>
      </c>
      <c r="I259" s="247">
        <f>F259+G259+H259</f>
        <v>32180.513</v>
      </c>
      <c r="J259" s="246">
        <f>E259+I259</f>
        <v>127801.513</v>
      </c>
      <c r="K259" s="181">
        <f>J259/$K$10</f>
        <v>10650.126083333334</v>
      </c>
      <c r="L259" s="181">
        <f>J259/$L$10</f>
        <v>580.91596818181824</v>
      </c>
      <c r="M259" s="181">
        <f>J259/$M$10</f>
        <v>2904.5798409090912</v>
      </c>
      <c r="N259" s="181">
        <f>J259/$N$10</f>
        <v>77.455462424242427</v>
      </c>
      <c r="P259" s="181">
        <f>0.1*C259</f>
        <v>9345.9</v>
      </c>
      <c r="Q259" s="181">
        <f>0.1*J259</f>
        <v>12780.151300000001</v>
      </c>
      <c r="R259" s="229"/>
    </row>
    <row r="260" spans="1:18">
      <c r="A260" s="257" t="s">
        <v>284</v>
      </c>
      <c r="B260" s="258" t="s">
        <v>264</v>
      </c>
      <c r="C260" s="259">
        <v>99254</v>
      </c>
      <c r="D260" s="246">
        <v>2162</v>
      </c>
      <c r="E260" s="246">
        <f>C260+D260</f>
        <v>101416</v>
      </c>
      <c r="F260" s="181">
        <f>IF(E260&gt;$L$5,$N$5*(E260-$L$5)+$N$4*($L$5-$L$4)+$N$3*($L$4-$L$1),IF($L$5&gt;E260&gt;$L$4,$N$4*(E260-$L$4)+$N$3*($L$4-$L$1),0))</f>
        <v>12804.192000000001</v>
      </c>
      <c r="G260" s="247">
        <f>E260*$G$10</f>
        <v>20891.696</v>
      </c>
      <c r="H260" s="247">
        <f>E260/100*0.5</f>
        <v>507.08</v>
      </c>
      <c r="I260" s="247">
        <f>F260+G260+H260</f>
        <v>34202.968</v>
      </c>
      <c r="J260" s="246">
        <f>E260+I260</f>
        <v>135618.968</v>
      </c>
      <c r="K260" s="181">
        <f>J260/$K$10</f>
        <v>11301.580666666667</v>
      </c>
      <c r="L260" s="181">
        <f>J260/$L$10</f>
        <v>616.44985454545451</v>
      </c>
      <c r="M260" s="181">
        <f>J260/$M$10</f>
        <v>3082.2492727272725</v>
      </c>
      <c r="N260" s="181">
        <f>J260/$N$10</f>
        <v>82.193313939393931</v>
      </c>
      <c r="P260" s="181">
        <f>0.1*C260</f>
        <v>9925.4000000000015</v>
      </c>
      <c r="Q260" s="181">
        <f>0.1*J260</f>
        <v>13561.8968</v>
      </c>
      <c r="R260" s="229"/>
    </row>
    <row r="261" spans="1:18">
      <c r="A261" s="257" t="s">
        <v>284</v>
      </c>
      <c r="B261" s="258" t="s">
        <v>265</v>
      </c>
      <c r="C261" s="259">
        <v>99254</v>
      </c>
      <c r="D261" s="246">
        <v>2162</v>
      </c>
      <c r="E261" s="246">
        <f>C261+D261</f>
        <v>101416</v>
      </c>
      <c r="F261" s="181">
        <f>IF(E261&gt;$L$5,$N$5*(E261-$L$5)+$N$4*($L$5-$L$4)+$N$3*($L$4-$L$1),IF($L$5&gt;E261&gt;$L$4,$N$4*(E261-$L$4)+$N$3*($L$4-$L$1),0))</f>
        <v>12804.192000000001</v>
      </c>
      <c r="G261" s="247">
        <f>E261*$G$10</f>
        <v>20891.696</v>
      </c>
      <c r="H261" s="247">
        <f>E261/100*0.5</f>
        <v>507.08</v>
      </c>
      <c r="I261" s="247">
        <f>F261+G261+H261</f>
        <v>34202.968</v>
      </c>
      <c r="J261" s="246">
        <f>E261+I261</f>
        <v>135618.968</v>
      </c>
      <c r="K261" s="181">
        <f>J261/$K$10</f>
        <v>11301.580666666667</v>
      </c>
      <c r="L261" s="181">
        <f>J261/$L$10</f>
        <v>616.44985454545451</v>
      </c>
      <c r="M261" s="181">
        <f>J261/$M$10</f>
        <v>3082.2492727272725</v>
      </c>
      <c r="N261" s="181">
        <f>J261/$N$10</f>
        <v>82.193313939393931</v>
      </c>
      <c r="P261" s="181">
        <f>0.1*C261</f>
        <v>9925.4000000000015</v>
      </c>
      <c r="Q261" s="181">
        <f>0.1*J261</f>
        <v>13561.8968</v>
      </c>
      <c r="R261" s="229"/>
    </row>
    <row r="262" spans="1:18">
      <c r="A262" s="257" t="s">
        <v>284</v>
      </c>
      <c r="B262" s="258" t="s">
        <v>269</v>
      </c>
      <c r="C262" s="259">
        <v>105042</v>
      </c>
      <c r="D262" s="246">
        <v>2162</v>
      </c>
      <c r="E262" s="246">
        <f>C262+D262</f>
        <v>107204</v>
      </c>
      <c r="F262" s="181">
        <f>IF(E262&gt;$L$5,$N$5*(E262-$L$5)+$N$4*($L$5-$L$4)+$N$3*($L$4-$L$1),IF($L$5&gt;E262&gt;$L$4,$N$4*(E262-$L$4)+$N$3*($L$4-$L$1),0))</f>
        <v>13602.936000000002</v>
      </c>
      <c r="G262" s="247">
        <f>E262*$G$10</f>
        <v>22084.023999999998</v>
      </c>
      <c r="H262" s="247">
        <f>E262/100*0.5</f>
        <v>536.02</v>
      </c>
      <c r="I262" s="247">
        <f>F262+G262+H262</f>
        <v>36222.979999999996</v>
      </c>
      <c r="J262" s="246">
        <f>E262+I262</f>
        <v>143426.97999999998</v>
      </c>
      <c r="K262" s="181">
        <f>J262/$K$10</f>
        <v>11952.248333333331</v>
      </c>
      <c r="L262" s="181">
        <f>J262/$L$10</f>
        <v>651.94081818181814</v>
      </c>
      <c r="M262" s="181">
        <f>J262/$M$10</f>
        <v>3259.7040909090906</v>
      </c>
      <c r="N262" s="181">
        <f>J262/$N$10</f>
        <v>86.925442424242419</v>
      </c>
      <c r="P262" s="181">
        <f>0.1*C262</f>
        <v>10504.2</v>
      </c>
      <c r="Q262" s="181">
        <f>0.1*J262</f>
        <v>14342.697999999999</v>
      </c>
      <c r="R262" s="229"/>
    </row>
    <row r="263" spans="1:18">
      <c r="A263" s="257"/>
      <c r="B263" s="258"/>
      <c r="C263" s="259"/>
      <c r="D263" s="246"/>
      <c r="E263" s="246"/>
      <c r="F263" s="181"/>
      <c r="G263" s="247"/>
      <c r="H263" s="247"/>
      <c r="I263" s="247"/>
      <c r="J263" s="246"/>
      <c r="K263" s="181"/>
      <c r="L263" s="181"/>
      <c r="M263" s="181"/>
      <c r="N263" s="181"/>
      <c r="P263" s="181"/>
      <c r="Q263" s="181"/>
      <c r="R263" s="229"/>
    </row>
    <row r="264" spans="1:18">
      <c r="A264" s="257"/>
      <c r="B264" s="258"/>
      <c r="C264" s="259"/>
      <c r="D264" s="246"/>
      <c r="E264" s="246"/>
      <c r="F264" s="181"/>
      <c r="G264" s="247"/>
      <c r="H264" s="247"/>
      <c r="I264" s="247"/>
      <c r="J264" s="246"/>
      <c r="K264" s="181"/>
      <c r="L264" s="181"/>
      <c r="M264" s="181"/>
      <c r="N264" s="181"/>
      <c r="P264" s="181"/>
      <c r="Q264" s="181"/>
      <c r="R264" s="229"/>
    </row>
    <row r="265" spans="1:18">
      <c r="A265" s="257" t="s">
        <v>285</v>
      </c>
      <c r="B265" s="258" t="s">
        <v>257</v>
      </c>
      <c r="C265" s="259">
        <v>87665</v>
      </c>
      <c r="D265" s="246">
        <v>2162</v>
      </c>
      <c r="E265" s="246">
        <f>C265+D265</f>
        <v>89827</v>
      </c>
      <c r="F265" s="181">
        <f>IF(E265&gt;$L$5,$N$5*(E265-$L$5)+$N$4*($L$5-$L$4)+$N$3*($L$4-$L$1),IF($L$5&gt;E265&gt;$L$4,$N$4*(E265-$L$4)+$N$3*($L$4-$L$1),0))</f>
        <v>11204.91</v>
      </c>
      <c r="G265" s="247">
        <f>E265*$G$10</f>
        <v>18504.361999999997</v>
      </c>
      <c r="H265" s="247">
        <f>E265/100*0.5</f>
        <v>449.135</v>
      </c>
      <c r="I265" s="247">
        <f>F265+G265+H265</f>
        <v>30158.406999999996</v>
      </c>
      <c r="J265" s="246">
        <f>E265+I265</f>
        <v>119985.40699999999</v>
      </c>
      <c r="K265" s="181">
        <f>J265/$K$10</f>
        <v>9998.7839166666654</v>
      </c>
      <c r="L265" s="181">
        <f>J265/$L$10</f>
        <v>545.38821363636362</v>
      </c>
      <c r="M265" s="181">
        <f>J265/$M$10</f>
        <v>2726.9410681818181</v>
      </c>
      <c r="N265" s="181">
        <f>J265/$N$10</f>
        <v>72.718428484848474</v>
      </c>
      <c r="P265" s="181">
        <f>0.1*C265</f>
        <v>8766.5</v>
      </c>
      <c r="Q265" s="181">
        <f>0.1*J265</f>
        <v>11998.5407</v>
      </c>
      <c r="R265" s="229"/>
    </row>
    <row r="266" spans="1:18">
      <c r="A266" s="257" t="s">
        <v>285</v>
      </c>
      <c r="B266" s="258" t="s">
        <v>258</v>
      </c>
      <c r="C266" s="259">
        <v>87665</v>
      </c>
      <c r="D266" s="246">
        <v>2162</v>
      </c>
      <c r="E266" s="246">
        <f>C266+D266</f>
        <v>89827</v>
      </c>
      <c r="F266" s="181">
        <f>IF(E266&gt;$L$5,$N$5*(E266-$L$5)+$N$4*($L$5-$L$4)+$N$3*($L$4-$L$1),IF($L$5&gt;E266&gt;$L$4,$N$4*(E266-$L$4)+$N$3*($L$4-$L$1),0))</f>
        <v>11204.91</v>
      </c>
      <c r="G266" s="247">
        <f>E266*$G$10</f>
        <v>18504.361999999997</v>
      </c>
      <c r="H266" s="247">
        <f>E266/100*0.5</f>
        <v>449.135</v>
      </c>
      <c r="I266" s="247">
        <f>F266+G266+H266</f>
        <v>30158.406999999996</v>
      </c>
      <c r="J266" s="246">
        <f>E266+I266</f>
        <v>119985.40699999999</v>
      </c>
      <c r="K266" s="181">
        <f>J266/$K$10</f>
        <v>9998.7839166666654</v>
      </c>
      <c r="L266" s="181">
        <f>J266/$L$10</f>
        <v>545.38821363636362</v>
      </c>
      <c r="M266" s="181">
        <f>J266/$M$10</f>
        <v>2726.9410681818181</v>
      </c>
      <c r="N266" s="181">
        <f>J266/$N$10</f>
        <v>72.718428484848474</v>
      </c>
      <c r="P266" s="181">
        <f>0.1*C266</f>
        <v>8766.5</v>
      </c>
      <c r="Q266" s="181">
        <f>0.1*J266</f>
        <v>11998.5407</v>
      </c>
      <c r="R266" s="229"/>
    </row>
    <row r="267" spans="1:18">
      <c r="A267" s="257" t="s">
        <v>285</v>
      </c>
      <c r="B267" s="258" t="s">
        <v>259</v>
      </c>
      <c r="C267" s="259">
        <v>93459</v>
      </c>
      <c r="D267" s="246">
        <v>2162</v>
      </c>
      <c r="E267" s="246">
        <f>C267+D267</f>
        <v>95621</v>
      </c>
      <c r="F267" s="181">
        <f>IF(E267&gt;$L$5,$N$5*(E267-$L$5)+$N$4*($L$5-$L$4)+$N$3*($L$4-$L$1),IF($L$5&gt;E267&gt;$L$4,$N$4*(E267-$L$4)+$N$3*($L$4-$L$1),0))</f>
        <v>12004.482</v>
      </c>
      <c r="G267" s="247">
        <f>E267*$G$10</f>
        <v>19697.926</v>
      </c>
      <c r="H267" s="247">
        <f>E267/100*0.5</f>
        <v>478.105</v>
      </c>
      <c r="I267" s="247">
        <f>F267+G267+H267</f>
        <v>32180.513</v>
      </c>
      <c r="J267" s="246">
        <f>E267+I267</f>
        <v>127801.513</v>
      </c>
      <c r="K267" s="181">
        <f>J267/$K$10</f>
        <v>10650.126083333334</v>
      </c>
      <c r="L267" s="181">
        <f>J267/$L$10</f>
        <v>580.91596818181824</v>
      </c>
      <c r="M267" s="181">
        <f>J267/$M$10</f>
        <v>2904.5798409090912</v>
      </c>
      <c r="N267" s="181">
        <f>J267/$N$10</f>
        <v>77.455462424242427</v>
      </c>
      <c r="P267" s="181">
        <f>0.1*C267</f>
        <v>9345.9</v>
      </c>
      <c r="Q267" s="181">
        <f>0.1*J267</f>
        <v>12780.151300000001</v>
      </c>
      <c r="R267" s="229"/>
    </row>
    <row r="268" spans="1:18">
      <c r="A268" s="257" t="s">
        <v>285</v>
      </c>
      <c r="B268" s="258" t="s">
        <v>264</v>
      </c>
      <c r="C268" s="259">
        <v>99254</v>
      </c>
      <c r="D268" s="246">
        <v>2162</v>
      </c>
      <c r="E268" s="246">
        <f>C268+D268</f>
        <v>101416</v>
      </c>
      <c r="F268" s="181">
        <f>IF(E268&gt;$L$5,$N$5*(E268-$L$5)+$N$4*($L$5-$L$4)+$N$3*($L$4-$L$1),IF($L$5&gt;E268&gt;$L$4,$N$4*(E268-$L$4)+$N$3*($L$4-$L$1),0))</f>
        <v>12804.192000000001</v>
      </c>
      <c r="G268" s="247">
        <f>E268*$G$10</f>
        <v>20891.696</v>
      </c>
      <c r="H268" s="247">
        <f>E268/100*0.5</f>
        <v>507.08</v>
      </c>
      <c r="I268" s="247">
        <f>F268+G268+H268</f>
        <v>34202.968</v>
      </c>
      <c r="J268" s="246">
        <f>E268+I268</f>
        <v>135618.968</v>
      </c>
      <c r="K268" s="181">
        <f>J268/$K$10</f>
        <v>11301.580666666667</v>
      </c>
      <c r="L268" s="181">
        <f>J268/$L$10</f>
        <v>616.44985454545451</v>
      </c>
      <c r="M268" s="181">
        <f>J268/$M$10</f>
        <v>3082.2492727272725</v>
      </c>
      <c r="N268" s="181">
        <f>J268/$N$10</f>
        <v>82.193313939393931</v>
      </c>
      <c r="P268" s="181">
        <f>0.1*C268</f>
        <v>9925.4000000000015</v>
      </c>
      <c r="Q268" s="181">
        <f>0.1*J268</f>
        <v>13561.8968</v>
      </c>
      <c r="R268" s="229"/>
    </row>
    <row r="269" spans="1:18">
      <c r="A269" s="257" t="s">
        <v>285</v>
      </c>
      <c r="B269" s="258" t="s">
        <v>265</v>
      </c>
      <c r="C269" s="259">
        <v>99254</v>
      </c>
      <c r="D269" s="246">
        <v>2162</v>
      </c>
      <c r="E269" s="246">
        <f>C269+D269</f>
        <v>101416</v>
      </c>
      <c r="F269" s="181">
        <f>IF(E269&gt;$L$5,$N$5*(E269-$L$5)+$N$4*($L$5-$L$4)+$N$3*($L$4-$L$1),IF($L$5&gt;E269&gt;$L$4,$N$4*(E269-$L$4)+$N$3*($L$4-$L$1),0))</f>
        <v>12804.192000000001</v>
      </c>
      <c r="G269" s="247">
        <f>E269*$G$10</f>
        <v>20891.696</v>
      </c>
      <c r="H269" s="247">
        <f>E269/100*0.5</f>
        <v>507.08</v>
      </c>
      <c r="I269" s="247">
        <f>F269+G269+H269</f>
        <v>34202.968</v>
      </c>
      <c r="J269" s="246">
        <f>E269+I269</f>
        <v>135618.968</v>
      </c>
      <c r="K269" s="181">
        <f>J269/$K$10</f>
        <v>11301.580666666667</v>
      </c>
      <c r="L269" s="181">
        <f>J269/$L$10</f>
        <v>616.44985454545451</v>
      </c>
      <c r="M269" s="181">
        <f>J269/$M$10</f>
        <v>3082.2492727272725</v>
      </c>
      <c r="N269" s="181">
        <f>J269/$N$10</f>
        <v>82.193313939393931</v>
      </c>
      <c r="P269" s="181">
        <f>0.1*C269</f>
        <v>9925.4000000000015</v>
      </c>
      <c r="Q269" s="181">
        <f>0.1*J269</f>
        <v>13561.8968</v>
      </c>
      <c r="R269" s="229"/>
    </row>
    <row r="270" spans="1:18">
      <c r="A270" s="257" t="s">
        <v>285</v>
      </c>
      <c r="B270" s="258" t="s">
        <v>269</v>
      </c>
      <c r="C270" s="259">
        <v>105042</v>
      </c>
      <c r="D270" s="246">
        <v>2162</v>
      </c>
      <c r="E270" s="246">
        <f>C270+D270</f>
        <v>107204</v>
      </c>
      <c r="F270" s="181">
        <f>IF(E270&gt;$L$5,$N$5*(E270-$L$5)+$N$4*($L$5-$L$4)+$N$3*($L$4-$L$1),IF($L$5&gt;E270&gt;$L$4,$N$4*(E270-$L$4)+$N$3*($L$4-$L$1),0))</f>
        <v>13602.936000000002</v>
      </c>
      <c r="G270" s="247">
        <f>E270*$G$10</f>
        <v>22084.023999999998</v>
      </c>
      <c r="H270" s="247">
        <f>E270/100*0.5</f>
        <v>536.02</v>
      </c>
      <c r="I270" s="247">
        <f>F270+G270+H270</f>
        <v>36222.979999999996</v>
      </c>
      <c r="J270" s="246">
        <f>E270+I270</f>
        <v>143426.97999999998</v>
      </c>
      <c r="K270" s="181">
        <f>J270/$K$10</f>
        <v>11952.248333333331</v>
      </c>
      <c r="L270" s="181">
        <f>J270/$L$10</f>
        <v>651.94081818181814</v>
      </c>
      <c r="M270" s="181">
        <f>J270/$M$10</f>
        <v>3259.7040909090906</v>
      </c>
      <c r="N270" s="181">
        <f>J270/$N$10</f>
        <v>86.925442424242419</v>
      </c>
      <c r="P270" s="181">
        <f>0.1*C270</f>
        <v>10504.2</v>
      </c>
      <c r="Q270" s="181">
        <f>0.1*J270</f>
        <v>14342.697999999999</v>
      </c>
      <c r="R270" s="229"/>
    </row>
    <row r="271" spans="1:18">
      <c r="A271" s="257"/>
      <c r="B271" s="258"/>
      <c r="C271" s="259"/>
      <c r="D271" s="246"/>
      <c r="E271" s="246"/>
      <c r="F271" s="181"/>
      <c r="G271" s="247"/>
      <c r="H271" s="247"/>
      <c r="I271" s="247"/>
      <c r="J271" s="246"/>
      <c r="K271" s="181"/>
      <c r="L271" s="181"/>
      <c r="M271" s="181"/>
      <c r="N271" s="181"/>
      <c r="P271" s="181"/>
      <c r="Q271" s="181"/>
      <c r="R271" s="229"/>
    </row>
    <row r="272" spans="1:18">
      <c r="A272" s="257"/>
      <c r="B272" s="258"/>
      <c r="C272" s="259"/>
      <c r="D272" s="246"/>
      <c r="E272" s="246"/>
      <c r="F272" s="181"/>
      <c r="G272" s="247"/>
      <c r="H272" s="247"/>
      <c r="I272" s="247"/>
      <c r="J272" s="246"/>
      <c r="K272" s="181"/>
      <c r="L272" s="181"/>
      <c r="M272" s="181"/>
      <c r="N272" s="181"/>
      <c r="P272" s="181"/>
      <c r="Q272" s="181"/>
      <c r="R272" s="229"/>
    </row>
    <row r="273" spans="1:18">
      <c r="A273" s="257" t="s">
        <v>286</v>
      </c>
      <c r="B273" s="258" t="s">
        <v>258</v>
      </c>
      <c r="C273" s="259">
        <v>87665</v>
      </c>
      <c r="D273" s="246">
        <v>2162</v>
      </c>
      <c r="E273" s="246">
        <f>C273+D273</f>
        <v>89827</v>
      </c>
      <c r="F273" s="181">
        <f>IF(E273&gt;$L$5,$N$5*(E273-$L$5)+$N$4*($L$5-$L$4)+$N$3*($L$4-$L$1),IF($L$5&gt;E273&gt;$L$4,$N$4*(E273-$L$4)+$N$3*($L$4-$L$1),0))</f>
        <v>11204.91</v>
      </c>
      <c r="G273" s="247">
        <f>E273*$G$10</f>
        <v>18504.361999999997</v>
      </c>
      <c r="H273" s="247">
        <f>E273/100*0.5</f>
        <v>449.135</v>
      </c>
      <c r="I273" s="247">
        <f>F273+G273+H273</f>
        <v>30158.406999999996</v>
      </c>
      <c r="J273" s="246">
        <f>E273+I273</f>
        <v>119985.40699999999</v>
      </c>
      <c r="K273" s="181">
        <f>J273/$K$10</f>
        <v>9998.7839166666654</v>
      </c>
      <c r="L273" s="181">
        <f>J273/$L$10</f>
        <v>545.38821363636362</v>
      </c>
      <c r="M273" s="181">
        <f>J273/$M$10</f>
        <v>2726.9410681818181</v>
      </c>
      <c r="N273" s="181">
        <f>J273/$N$10</f>
        <v>72.718428484848474</v>
      </c>
      <c r="P273" s="181">
        <f>0.1*C273</f>
        <v>8766.5</v>
      </c>
      <c r="Q273" s="181">
        <f>0.1*J273</f>
        <v>11998.5407</v>
      </c>
      <c r="R273" s="229"/>
    </row>
    <row r="274" spans="1:18">
      <c r="A274" s="257" t="s">
        <v>286</v>
      </c>
      <c r="B274" s="258" t="s">
        <v>259</v>
      </c>
      <c r="C274" s="259">
        <v>93459</v>
      </c>
      <c r="D274" s="246">
        <v>2162</v>
      </c>
      <c r="E274" s="246">
        <f>C274+D274</f>
        <v>95621</v>
      </c>
      <c r="F274" s="181">
        <f>IF(E274&gt;$L$5,$N$5*(E274-$L$5)+$N$4*($L$5-$L$4)+$N$3*($L$4-$L$1),IF($L$5&gt;E274&gt;$L$4,$N$4*(E274-$L$4)+$N$3*($L$4-$L$1),0))</f>
        <v>12004.482</v>
      </c>
      <c r="G274" s="247">
        <f>E274*$G$10</f>
        <v>19697.926</v>
      </c>
      <c r="H274" s="247">
        <f>E274/100*0.5</f>
        <v>478.105</v>
      </c>
      <c r="I274" s="247">
        <f>F274+G274+H274</f>
        <v>32180.513</v>
      </c>
      <c r="J274" s="246">
        <f>E274+I274</f>
        <v>127801.513</v>
      </c>
      <c r="K274" s="181">
        <f>J274/$K$10</f>
        <v>10650.126083333334</v>
      </c>
      <c r="L274" s="181">
        <f>J274/$L$10</f>
        <v>580.91596818181824</v>
      </c>
      <c r="M274" s="181">
        <f>J274/$M$10</f>
        <v>2904.5798409090912</v>
      </c>
      <c r="N274" s="181">
        <f>J274/$N$10</f>
        <v>77.455462424242427</v>
      </c>
      <c r="P274" s="181">
        <f>0.1*C274</f>
        <v>9345.9</v>
      </c>
      <c r="Q274" s="181">
        <f>0.1*J274</f>
        <v>12780.151300000001</v>
      </c>
      <c r="R274" s="229"/>
    </row>
    <row r="275" spans="1:18">
      <c r="A275" s="257" t="s">
        <v>286</v>
      </c>
      <c r="B275" s="258" t="s">
        <v>260</v>
      </c>
      <c r="C275" s="259">
        <v>93459</v>
      </c>
      <c r="D275" s="246">
        <v>2162</v>
      </c>
      <c r="E275" s="246">
        <f>C275+D275</f>
        <v>95621</v>
      </c>
      <c r="F275" s="181">
        <f>IF(E275&gt;$L$5,$N$5*(E275-$L$5)+$N$4*($L$5-$L$4)+$N$3*($L$4-$L$1),IF($L$5&gt;E275&gt;$L$4,$N$4*(E275-$L$4)+$N$3*($L$4-$L$1),0))</f>
        <v>12004.482</v>
      </c>
      <c r="G275" s="247">
        <f>E275*$G$10</f>
        <v>19697.926</v>
      </c>
      <c r="H275" s="247">
        <f>E275/100*0.5</f>
        <v>478.105</v>
      </c>
      <c r="I275" s="247">
        <f>F275+G275+H275</f>
        <v>32180.513</v>
      </c>
      <c r="J275" s="246">
        <f>E275+I275</f>
        <v>127801.513</v>
      </c>
      <c r="K275" s="181">
        <f>J275/$K$10</f>
        <v>10650.126083333334</v>
      </c>
      <c r="L275" s="181">
        <f>J275/$L$10</f>
        <v>580.91596818181824</v>
      </c>
      <c r="M275" s="181">
        <f>J275/$M$10</f>
        <v>2904.5798409090912</v>
      </c>
      <c r="N275" s="181">
        <f>J275/$N$10</f>
        <v>77.455462424242427</v>
      </c>
      <c r="P275" s="181">
        <f>0.1*C275</f>
        <v>9345.9</v>
      </c>
      <c r="Q275" s="181">
        <f>0.1*J275</f>
        <v>12780.151300000001</v>
      </c>
      <c r="R275" s="229"/>
    </row>
    <row r="276" spans="1:18">
      <c r="A276" s="257" t="s">
        <v>286</v>
      </c>
      <c r="B276" s="258" t="s">
        <v>264</v>
      </c>
      <c r="C276" s="259">
        <v>99254</v>
      </c>
      <c r="D276" s="246">
        <v>2162</v>
      </c>
      <c r="E276" s="246">
        <f>C276+D276</f>
        <v>101416</v>
      </c>
      <c r="F276" s="181">
        <f>IF(E276&gt;$L$5,$N$5*(E276-$L$5)+$N$4*($L$5-$L$4)+$N$3*($L$4-$L$1),IF($L$5&gt;E276&gt;$L$4,$N$4*(E276-$L$4)+$N$3*($L$4-$L$1),0))</f>
        <v>12804.192000000001</v>
      </c>
      <c r="G276" s="247">
        <f>E276*$G$10</f>
        <v>20891.696</v>
      </c>
      <c r="H276" s="247">
        <f>E276/100*0.5</f>
        <v>507.08</v>
      </c>
      <c r="I276" s="247">
        <f>F276+G276+H276</f>
        <v>34202.968</v>
      </c>
      <c r="J276" s="246">
        <f>E276+I276</f>
        <v>135618.968</v>
      </c>
      <c r="K276" s="181">
        <f>J276/$K$10</f>
        <v>11301.580666666667</v>
      </c>
      <c r="L276" s="181">
        <f>J276/$L$10</f>
        <v>616.44985454545451</v>
      </c>
      <c r="M276" s="181">
        <f>J276/$M$10</f>
        <v>3082.2492727272725</v>
      </c>
      <c r="N276" s="181">
        <f>J276/$N$10</f>
        <v>82.193313939393931</v>
      </c>
      <c r="P276" s="181">
        <f>0.1*C276</f>
        <v>9925.4000000000015</v>
      </c>
      <c r="Q276" s="181">
        <f>0.1*J276</f>
        <v>13561.8968</v>
      </c>
      <c r="R276" s="229"/>
    </row>
    <row r="277" spans="1:18">
      <c r="A277" s="257" t="s">
        <v>286</v>
      </c>
      <c r="B277" s="258" t="s">
        <v>265</v>
      </c>
      <c r="C277" s="259">
        <v>99254</v>
      </c>
      <c r="D277" s="246">
        <v>2162</v>
      </c>
      <c r="E277" s="246">
        <f>C277+D277</f>
        <v>101416</v>
      </c>
      <c r="F277" s="181">
        <f>IF(E277&gt;$L$5,$N$5*(E277-$L$5)+$N$4*($L$5-$L$4)+$N$3*($L$4-$L$1),IF($L$5&gt;E277&gt;$L$4,$N$4*(E277-$L$4)+$N$3*($L$4-$L$1),0))</f>
        <v>12804.192000000001</v>
      </c>
      <c r="G277" s="247">
        <f>E277*$G$10</f>
        <v>20891.696</v>
      </c>
      <c r="H277" s="247">
        <f>E277/100*0.5</f>
        <v>507.08</v>
      </c>
      <c r="I277" s="247">
        <f>F277+G277+H277</f>
        <v>34202.968</v>
      </c>
      <c r="J277" s="246">
        <f>E277+I277</f>
        <v>135618.968</v>
      </c>
      <c r="K277" s="181">
        <f>J277/$K$10</f>
        <v>11301.580666666667</v>
      </c>
      <c r="L277" s="181">
        <f>J277/$L$10</f>
        <v>616.44985454545451</v>
      </c>
      <c r="M277" s="181">
        <f>J277/$M$10</f>
        <v>3082.2492727272725</v>
      </c>
      <c r="N277" s="181">
        <f>J277/$N$10</f>
        <v>82.193313939393931</v>
      </c>
      <c r="P277" s="181">
        <f>0.1*C277</f>
        <v>9925.4000000000015</v>
      </c>
      <c r="Q277" s="181">
        <f>0.1*J277</f>
        <v>13561.8968</v>
      </c>
      <c r="R277" s="229"/>
    </row>
    <row r="278" spans="1:18">
      <c r="A278" s="257" t="s">
        <v>286</v>
      </c>
      <c r="B278" s="258" t="s">
        <v>269</v>
      </c>
      <c r="C278" s="259">
        <v>105042</v>
      </c>
      <c r="D278" s="246">
        <v>2162</v>
      </c>
      <c r="E278" s="246">
        <f>C278+D278</f>
        <v>107204</v>
      </c>
      <c r="F278" s="181">
        <f>IF(E278&gt;$L$5,$N$5*(E278-$L$5)+$N$4*($L$5-$L$4)+$N$3*($L$4-$L$1),IF($L$5&gt;E278&gt;$L$4,$N$4*(E278-$L$4)+$N$3*($L$4-$L$1),0))</f>
        <v>13602.936000000002</v>
      </c>
      <c r="G278" s="247">
        <f>E278*$G$10</f>
        <v>22084.023999999998</v>
      </c>
      <c r="H278" s="247">
        <f>E278/100*0.5</f>
        <v>536.02</v>
      </c>
      <c r="I278" s="247">
        <f>F278+G278+H278</f>
        <v>36222.979999999996</v>
      </c>
      <c r="J278" s="246">
        <f>E278+I278</f>
        <v>143426.97999999998</v>
      </c>
      <c r="K278" s="181">
        <f>J278/$K$10</f>
        <v>11952.248333333331</v>
      </c>
      <c r="L278" s="181">
        <f>J278/$L$10</f>
        <v>651.94081818181814</v>
      </c>
      <c r="M278" s="181">
        <f>J278/$M$10</f>
        <v>3259.7040909090906</v>
      </c>
      <c r="N278" s="181">
        <f>J278/$N$10</f>
        <v>86.925442424242419</v>
      </c>
      <c r="P278" s="181">
        <f>0.1*C278</f>
        <v>10504.2</v>
      </c>
      <c r="Q278" s="181">
        <f>0.1*J278</f>
        <v>14342.697999999999</v>
      </c>
      <c r="R278" s="229"/>
    </row>
    <row r="279" spans="1:18">
      <c r="A279" s="257"/>
      <c r="B279" s="258"/>
      <c r="C279" s="259"/>
      <c r="D279" s="246"/>
      <c r="E279" s="246"/>
      <c r="F279" s="181"/>
      <c r="G279" s="247"/>
      <c r="H279" s="247"/>
      <c r="I279" s="247"/>
      <c r="J279" s="246"/>
      <c r="K279" s="181"/>
      <c r="L279" s="181"/>
      <c r="M279" s="181"/>
      <c r="N279" s="181"/>
      <c r="P279" s="181"/>
      <c r="Q279" s="181"/>
      <c r="R279" s="229"/>
    </row>
    <row r="280" spans="1:18">
      <c r="A280" s="257"/>
      <c r="B280" s="258"/>
      <c r="C280" s="259"/>
      <c r="D280" s="246"/>
      <c r="E280" s="246"/>
      <c r="F280" s="181"/>
      <c r="G280" s="247"/>
      <c r="H280" s="247"/>
      <c r="I280" s="247"/>
      <c r="J280" s="246"/>
      <c r="K280" s="181"/>
      <c r="L280" s="181"/>
      <c r="M280" s="181"/>
      <c r="N280" s="181"/>
      <c r="P280" s="181"/>
      <c r="Q280" s="181"/>
      <c r="R280" s="229"/>
    </row>
    <row r="281" spans="1:18">
      <c r="A281" s="257" t="s">
        <v>287</v>
      </c>
      <c r="B281" s="258" t="s">
        <v>258</v>
      </c>
      <c r="C281" s="259">
        <v>87665</v>
      </c>
      <c r="D281" s="246">
        <v>2162</v>
      </c>
      <c r="E281" s="246">
        <f>C281+D281</f>
        <v>89827</v>
      </c>
      <c r="F281" s="181">
        <f>IF(E281&gt;$L$5,$N$5*(E281-$L$5)+$N$4*($L$5-$L$4)+$N$3*($L$4-$L$1),IF($L$5&gt;E281&gt;$L$4,$N$4*(E281-$L$4)+$N$3*($L$4-$L$1),0))</f>
        <v>11204.91</v>
      </c>
      <c r="G281" s="247">
        <f>E281*$G$10</f>
        <v>18504.361999999997</v>
      </c>
      <c r="H281" s="247">
        <f>E281/100*0.5</f>
        <v>449.135</v>
      </c>
      <c r="I281" s="247">
        <f>F281+G281+H281</f>
        <v>30158.406999999996</v>
      </c>
      <c r="J281" s="246">
        <f>E281+I281</f>
        <v>119985.40699999999</v>
      </c>
      <c r="K281" s="181">
        <f>J281/$K$10</f>
        <v>9998.7839166666654</v>
      </c>
      <c r="L281" s="181">
        <f>J281/$L$10</f>
        <v>545.38821363636362</v>
      </c>
      <c r="M281" s="181">
        <f>J281/$M$10</f>
        <v>2726.9410681818181</v>
      </c>
      <c r="N281" s="181">
        <f>J281/$N$10</f>
        <v>72.718428484848474</v>
      </c>
      <c r="P281" s="181">
        <f>0.1*C281</f>
        <v>8766.5</v>
      </c>
      <c r="Q281" s="181">
        <f>0.1*J281</f>
        <v>11998.5407</v>
      </c>
      <c r="R281" s="229"/>
    </row>
    <row r="282" spans="1:18">
      <c r="A282" s="257" t="s">
        <v>287</v>
      </c>
      <c r="B282" s="258" t="s">
        <v>259</v>
      </c>
      <c r="C282" s="259">
        <v>93459</v>
      </c>
      <c r="D282" s="246">
        <v>2162</v>
      </c>
      <c r="E282" s="246">
        <f>C282+D282</f>
        <v>95621</v>
      </c>
      <c r="F282" s="181">
        <f>IF(E282&gt;$L$5,$N$5*(E282-$L$5)+$N$4*($L$5-$L$4)+$N$3*($L$4-$L$1),IF($L$5&gt;E282&gt;$L$4,$N$4*(E282-$L$4)+$N$3*($L$4-$L$1),0))</f>
        <v>12004.482</v>
      </c>
      <c r="G282" s="247">
        <f>E282*$G$10</f>
        <v>19697.926</v>
      </c>
      <c r="H282" s="247">
        <f>E282/100*0.5</f>
        <v>478.105</v>
      </c>
      <c r="I282" s="247">
        <f>F282+G282+H282</f>
        <v>32180.513</v>
      </c>
      <c r="J282" s="246">
        <f>E282+I282</f>
        <v>127801.513</v>
      </c>
      <c r="K282" s="181">
        <f>J282/$K$10</f>
        <v>10650.126083333334</v>
      </c>
      <c r="L282" s="181">
        <f>J282/$L$10</f>
        <v>580.91596818181824</v>
      </c>
      <c r="M282" s="181">
        <f>J282/$M$10</f>
        <v>2904.5798409090912</v>
      </c>
      <c r="N282" s="181">
        <f>J282/$N$10</f>
        <v>77.455462424242427</v>
      </c>
      <c r="P282" s="181">
        <f>0.1*C282</f>
        <v>9345.9</v>
      </c>
      <c r="Q282" s="181">
        <f>0.1*J282</f>
        <v>12780.151300000001</v>
      </c>
      <c r="R282" s="229"/>
    </row>
    <row r="283" spans="1:18">
      <c r="A283" s="257" t="s">
        <v>287</v>
      </c>
      <c r="B283" s="258" t="s">
        <v>260</v>
      </c>
      <c r="C283" s="259">
        <v>93459</v>
      </c>
      <c r="D283" s="246">
        <v>2162</v>
      </c>
      <c r="E283" s="246">
        <f>C283+D283</f>
        <v>95621</v>
      </c>
      <c r="F283" s="181">
        <f>IF(E283&gt;$L$5,$N$5*(E283-$L$5)+$N$4*($L$5-$L$4)+$N$3*($L$4-$L$1),IF($L$5&gt;E283&gt;$L$4,$N$4*(E283-$L$4)+$N$3*($L$4-$L$1),0))</f>
        <v>12004.482</v>
      </c>
      <c r="G283" s="247">
        <f>E283*$G$10</f>
        <v>19697.926</v>
      </c>
      <c r="H283" s="247">
        <f>E283/100*0.5</f>
        <v>478.105</v>
      </c>
      <c r="I283" s="247">
        <f>F283+G283+H283</f>
        <v>32180.513</v>
      </c>
      <c r="J283" s="246">
        <f>E283+I283</f>
        <v>127801.513</v>
      </c>
      <c r="K283" s="181">
        <f>J283/$K$10</f>
        <v>10650.126083333334</v>
      </c>
      <c r="L283" s="181">
        <f>J283/$L$10</f>
        <v>580.91596818181824</v>
      </c>
      <c r="M283" s="181">
        <f>J283/$M$10</f>
        <v>2904.5798409090912</v>
      </c>
      <c r="N283" s="181">
        <f>J283/$N$10</f>
        <v>77.455462424242427</v>
      </c>
      <c r="P283" s="181">
        <f>0.1*C283</f>
        <v>9345.9</v>
      </c>
      <c r="Q283" s="181">
        <f>0.1*J283</f>
        <v>12780.151300000001</v>
      </c>
      <c r="R283" s="229"/>
    </row>
    <row r="284" spans="1:18">
      <c r="A284" s="257" t="s">
        <v>287</v>
      </c>
      <c r="B284" s="258" t="s">
        <v>264</v>
      </c>
      <c r="C284" s="259">
        <v>99254</v>
      </c>
      <c r="D284" s="246">
        <v>2162</v>
      </c>
      <c r="E284" s="246">
        <f>C284+D284</f>
        <v>101416</v>
      </c>
      <c r="F284" s="181">
        <f>IF(E284&gt;$L$5,$N$5*(E284-$L$5)+$N$4*($L$5-$L$4)+$N$3*($L$4-$L$1),IF($L$5&gt;E284&gt;$L$4,$N$4*(E284-$L$4)+$N$3*($L$4-$L$1),0))</f>
        <v>12804.192000000001</v>
      </c>
      <c r="G284" s="247">
        <f>E284*$G$10</f>
        <v>20891.696</v>
      </c>
      <c r="H284" s="247">
        <f>E284/100*0.5</f>
        <v>507.08</v>
      </c>
      <c r="I284" s="247">
        <f>F284+G284+H284</f>
        <v>34202.968</v>
      </c>
      <c r="J284" s="246">
        <f>E284+I284</f>
        <v>135618.968</v>
      </c>
      <c r="K284" s="181">
        <f>J284/$K$10</f>
        <v>11301.580666666667</v>
      </c>
      <c r="L284" s="181">
        <f>J284/$L$10</f>
        <v>616.44985454545451</v>
      </c>
      <c r="M284" s="181">
        <f>J284/$M$10</f>
        <v>3082.2492727272725</v>
      </c>
      <c r="N284" s="181">
        <f>J284/$N$10</f>
        <v>82.193313939393931</v>
      </c>
      <c r="P284" s="181">
        <f>0.1*C284</f>
        <v>9925.4000000000015</v>
      </c>
      <c r="Q284" s="181">
        <f>0.1*J284</f>
        <v>13561.8968</v>
      </c>
      <c r="R284" s="229"/>
    </row>
    <row r="285" spans="1:18">
      <c r="A285" s="257" t="s">
        <v>287</v>
      </c>
      <c r="B285" s="258" t="s">
        <v>269</v>
      </c>
      <c r="C285" s="259">
        <v>105042</v>
      </c>
      <c r="D285" s="246">
        <v>2162</v>
      </c>
      <c r="E285" s="246">
        <f>C285+D285</f>
        <v>107204</v>
      </c>
      <c r="F285" s="181">
        <f>IF(E285&gt;$L$5,$N$5*(E285-$L$5)+$N$4*($L$5-$L$4)+$N$3*($L$4-$L$1),IF($L$5&gt;E285&gt;$L$4,$N$4*(E285-$L$4)+$N$3*($L$4-$L$1),0))</f>
        <v>13602.936000000002</v>
      </c>
      <c r="G285" s="247">
        <f>E285*$G$10</f>
        <v>22084.023999999998</v>
      </c>
      <c r="H285" s="247">
        <f>E285/100*0.5</f>
        <v>536.02</v>
      </c>
      <c r="I285" s="247">
        <f>F285+G285+H285</f>
        <v>36222.979999999996</v>
      </c>
      <c r="J285" s="246">
        <f>E285+I285</f>
        <v>143426.97999999998</v>
      </c>
      <c r="K285" s="181">
        <f>J285/$K$10</f>
        <v>11952.248333333331</v>
      </c>
      <c r="L285" s="181">
        <f>J285/$L$10</f>
        <v>651.94081818181814</v>
      </c>
      <c r="M285" s="181">
        <f>J285/$M$10</f>
        <v>3259.7040909090906</v>
      </c>
      <c r="N285" s="181">
        <f>J285/$N$10</f>
        <v>86.925442424242419</v>
      </c>
      <c r="P285" s="181">
        <f>0.1*C285</f>
        <v>10504.2</v>
      </c>
      <c r="Q285" s="181">
        <f>0.1*J285</f>
        <v>14342.697999999999</v>
      </c>
      <c r="R285" s="229"/>
    </row>
    <row r="286" spans="1:18">
      <c r="A286" s="257"/>
      <c r="B286" s="258"/>
      <c r="C286" s="259"/>
      <c r="D286" s="246"/>
      <c r="E286" s="246"/>
      <c r="F286" s="181"/>
      <c r="G286" s="247"/>
      <c r="H286" s="247"/>
      <c r="I286" s="247"/>
      <c r="J286" s="246"/>
      <c r="K286" s="181"/>
      <c r="L286" s="181"/>
      <c r="M286" s="181"/>
      <c r="N286" s="181"/>
      <c r="P286" s="181"/>
      <c r="Q286" s="181"/>
      <c r="R286" s="229"/>
    </row>
    <row r="287" spans="1:18">
      <c r="A287" s="257"/>
      <c r="B287" s="258"/>
      <c r="C287" s="259"/>
      <c r="D287" s="246"/>
      <c r="E287" s="246"/>
      <c r="F287" s="181"/>
      <c r="G287" s="247"/>
      <c r="H287" s="247"/>
      <c r="I287" s="247"/>
      <c r="J287" s="246"/>
      <c r="K287" s="181"/>
      <c r="L287" s="181"/>
      <c r="M287" s="181"/>
      <c r="N287" s="181"/>
      <c r="P287" s="181"/>
      <c r="Q287" s="181"/>
      <c r="R287" s="229"/>
    </row>
    <row r="288" spans="1:18">
      <c r="A288" s="257" t="s">
        <v>288</v>
      </c>
      <c r="B288" s="258" t="s">
        <v>258</v>
      </c>
      <c r="C288" s="259">
        <v>87665</v>
      </c>
      <c r="D288" s="246">
        <v>2162</v>
      </c>
      <c r="E288" s="246">
        <f>C288+D288</f>
        <v>89827</v>
      </c>
      <c r="F288" s="181">
        <f>IF(E288&gt;$L$5,$N$5*(E288-$L$5)+$N$4*($L$5-$L$4)+$N$3*($L$4-$L$1),IF($L$5&gt;E288&gt;$L$4,$N$4*(E288-$L$4)+$N$3*($L$4-$L$1),0))</f>
        <v>11204.91</v>
      </c>
      <c r="G288" s="247">
        <f>E288*$G$10</f>
        <v>18504.361999999997</v>
      </c>
      <c r="H288" s="247">
        <f>E288/100*0.5</f>
        <v>449.135</v>
      </c>
      <c r="I288" s="247">
        <f>F288+G288+H288</f>
        <v>30158.406999999996</v>
      </c>
      <c r="J288" s="246">
        <f>E288+I288</f>
        <v>119985.40699999999</v>
      </c>
      <c r="K288" s="181">
        <f>J288/$K$10</f>
        <v>9998.7839166666654</v>
      </c>
      <c r="L288" s="181">
        <f>J288/$L$10</f>
        <v>545.38821363636362</v>
      </c>
      <c r="M288" s="181">
        <f>J288/$M$10</f>
        <v>2726.9410681818181</v>
      </c>
      <c r="N288" s="181">
        <f>J288/$N$10</f>
        <v>72.718428484848474</v>
      </c>
      <c r="P288" s="181">
        <f>0.1*C288</f>
        <v>8766.5</v>
      </c>
      <c r="Q288" s="181">
        <f>0.1*J288</f>
        <v>11998.5407</v>
      </c>
      <c r="R288" s="229"/>
    </row>
    <row r="289" spans="1:18">
      <c r="A289" s="257" t="s">
        <v>288</v>
      </c>
      <c r="B289" s="258" t="s">
        <v>259</v>
      </c>
      <c r="C289" s="259">
        <v>93459</v>
      </c>
      <c r="D289" s="246">
        <v>2162</v>
      </c>
      <c r="E289" s="246">
        <f>C289+D289</f>
        <v>95621</v>
      </c>
      <c r="F289" s="181">
        <f>IF(E289&gt;$L$5,$N$5*(E289-$L$5)+$N$4*($L$5-$L$4)+$N$3*($L$4-$L$1),IF($L$5&gt;E289&gt;$L$4,$N$4*(E289-$L$4)+$N$3*($L$4-$L$1),0))</f>
        <v>12004.482</v>
      </c>
      <c r="G289" s="247">
        <f>E289*$G$10</f>
        <v>19697.926</v>
      </c>
      <c r="H289" s="247">
        <f>E289/100*0.5</f>
        <v>478.105</v>
      </c>
      <c r="I289" s="247">
        <f>F289+G289+H289</f>
        <v>32180.513</v>
      </c>
      <c r="J289" s="246">
        <f>E289+I289</f>
        <v>127801.513</v>
      </c>
      <c r="K289" s="181">
        <f>J289/$K$10</f>
        <v>10650.126083333334</v>
      </c>
      <c r="L289" s="181">
        <f>J289/$L$10</f>
        <v>580.91596818181824</v>
      </c>
      <c r="M289" s="181">
        <f>J289/$M$10</f>
        <v>2904.5798409090912</v>
      </c>
      <c r="N289" s="181">
        <f>J289/$N$10</f>
        <v>77.455462424242427</v>
      </c>
      <c r="P289" s="181">
        <f>0.1*C289</f>
        <v>9345.9</v>
      </c>
      <c r="Q289" s="181">
        <f>0.1*J289</f>
        <v>12780.151300000001</v>
      </c>
      <c r="R289" s="229"/>
    </row>
    <row r="290" spans="1:18">
      <c r="A290" s="257" t="s">
        <v>288</v>
      </c>
      <c r="B290" s="258" t="s">
        <v>264</v>
      </c>
      <c r="C290" s="259">
        <v>99254</v>
      </c>
      <c r="D290" s="246">
        <v>2162</v>
      </c>
      <c r="E290" s="246">
        <f>C290+D290</f>
        <v>101416</v>
      </c>
      <c r="F290" s="181">
        <f>IF(E290&gt;$L$5,$N$5*(E290-$L$5)+$N$4*($L$5-$L$4)+$N$3*($L$4-$L$1),IF($L$5&gt;E290&gt;$L$4,$N$4*(E290-$L$4)+$N$3*($L$4-$L$1),0))</f>
        <v>12804.192000000001</v>
      </c>
      <c r="G290" s="247">
        <f>E290*$G$10</f>
        <v>20891.696</v>
      </c>
      <c r="H290" s="247">
        <f>E290/100*0.5</f>
        <v>507.08</v>
      </c>
      <c r="I290" s="247">
        <f>F290+G290+H290</f>
        <v>34202.968</v>
      </c>
      <c r="J290" s="246">
        <f>E290+I290</f>
        <v>135618.968</v>
      </c>
      <c r="K290" s="181">
        <f>J290/$K$10</f>
        <v>11301.580666666667</v>
      </c>
      <c r="L290" s="181">
        <f>J290/$L$10</f>
        <v>616.44985454545451</v>
      </c>
      <c r="M290" s="181">
        <f>J290/$M$10</f>
        <v>3082.2492727272725</v>
      </c>
      <c r="N290" s="181">
        <f>J290/$N$10</f>
        <v>82.193313939393931</v>
      </c>
      <c r="P290" s="181">
        <f>0.1*C290</f>
        <v>9925.4000000000015</v>
      </c>
      <c r="Q290" s="181">
        <f>0.1*J290</f>
        <v>13561.8968</v>
      </c>
      <c r="R290" s="229"/>
    </row>
    <row r="291" spans="1:18">
      <c r="A291" s="257" t="s">
        <v>288</v>
      </c>
      <c r="B291" s="258" t="s">
        <v>269</v>
      </c>
      <c r="C291" s="259">
        <v>105042</v>
      </c>
      <c r="D291" s="246">
        <v>2162</v>
      </c>
      <c r="E291" s="246">
        <f>C291+D291</f>
        <v>107204</v>
      </c>
      <c r="F291" s="181">
        <f>IF(E291&gt;$L$5,$N$5*(E291-$L$5)+$N$4*($L$5-$L$4)+$N$3*($L$4-$L$1),IF($L$5&gt;E291&gt;$L$4,$N$4*(E291-$L$4)+$N$3*($L$4-$L$1),0))</f>
        <v>13602.936000000002</v>
      </c>
      <c r="G291" s="247">
        <f>E291*$G$10</f>
        <v>22084.023999999998</v>
      </c>
      <c r="H291" s="247">
        <f>E291/100*0.5</f>
        <v>536.02</v>
      </c>
      <c r="I291" s="247">
        <f>F291+G291+H291</f>
        <v>36222.979999999996</v>
      </c>
      <c r="J291" s="246">
        <f>E291+I291</f>
        <v>143426.97999999998</v>
      </c>
      <c r="K291" s="181">
        <f>J291/$K$10</f>
        <v>11952.248333333331</v>
      </c>
      <c r="L291" s="181">
        <f>J291/$L$10</f>
        <v>651.94081818181814</v>
      </c>
      <c r="M291" s="181">
        <f>J291/$M$10</f>
        <v>3259.7040909090906</v>
      </c>
      <c r="N291" s="181">
        <f>J291/$N$10</f>
        <v>86.925442424242419</v>
      </c>
      <c r="P291" s="181">
        <f>0.1*C291</f>
        <v>10504.2</v>
      </c>
      <c r="Q291" s="181">
        <f>0.1*J291</f>
        <v>14342.697999999999</v>
      </c>
      <c r="R291" s="229"/>
    </row>
    <row r="292" spans="1:18">
      <c r="A292" s="257"/>
      <c r="B292" s="258"/>
      <c r="C292" s="259"/>
      <c r="D292" s="246"/>
      <c r="E292" s="246"/>
      <c r="F292" s="181"/>
      <c r="G292" s="247"/>
      <c r="H292" s="247"/>
      <c r="I292" s="247"/>
      <c r="J292" s="246"/>
      <c r="K292" s="181"/>
      <c r="L292" s="181"/>
      <c r="M292" s="181"/>
      <c r="N292" s="181"/>
      <c r="P292" s="181"/>
      <c r="Q292" s="181"/>
      <c r="R292" s="229"/>
    </row>
    <row r="293" spans="1:18">
      <c r="A293" s="257"/>
      <c r="B293" s="258"/>
      <c r="C293" s="259"/>
      <c r="D293" s="246"/>
      <c r="E293" s="246"/>
      <c r="F293" s="181"/>
      <c r="G293" s="247"/>
      <c r="H293" s="247"/>
      <c r="I293" s="247"/>
      <c r="J293" s="246"/>
      <c r="K293" s="181"/>
      <c r="L293" s="181"/>
      <c r="M293" s="181"/>
      <c r="N293" s="181"/>
      <c r="P293" s="181"/>
      <c r="Q293" s="181"/>
      <c r="R293" s="229"/>
    </row>
    <row r="294" spans="1:18">
      <c r="A294" s="257" t="s">
        <v>289</v>
      </c>
      <c r="B294" s="258" t="s">
        <v>263</v>
      </c>
      <c r="C294" s="259">
        <v>93459</v>
      </c>
      <c r="D294" s="246">
        <v>2162</v>
      </c>
      <c r="E294" s="246">
        <f>C294+D294</f>
        <v>95621</v>
      </c>
      <c r="F294" s="181">
        <f>IF(E294&gt;$L$5,$N$5*(E294-$L$5)+$N$4*($L$5-$L$4)+$N$3*($L$4-$L$1),IF($L$5&gt;E294&gt;$L$4,$N$4*(E294-$L$4)+$N$3*($L$4-$L$1),0))</f>
        <v>12004.482</v>
      </c>
      <c r="G294" s="247">
        <f>E294*$G$10</f>
        <v>19697.926</v>
      </c>
      <c r="H294" s="247">
        <f>E294/100*0.5</f>
        <v>478.105</v>
      </c>
      <c r="I294" s="247">
        <f>F294+G294+H294</f>
        <v>32180.513</v>
      </c>
      <c r="J294" s="246">
        <f>E294+I294</f>
        <v>127801.513</v>
      </c>
      <c r="K294" s="181">
        <f>J294/$K$10</f>
        <v>10650.126083333334</v>
      </c>
      <c r="L294" s="181">
        <f>J294/$L$10</f>
        <v>580.91596818181824</v>
      </c>
      <c r="M294" s="181">
        <f>J294/$M$10</f>
        <v>2904.5798409090912</v>
      </c>
      <c r="N294" s="181">
        <f>J294/$N$10</f>
        <v>77.455462424242427</v>
      </c>
      <c r="P294" s="181">
        <f>0.1*C294</f>
        <v>9345.9</v>
      </c>
      <c r="Q294" s="181">
        <f>0.1*J294</f>
        <v>12780.151300000001</v>
      </c>
      <c r="R294" s="229"/>
    </row>
    <row r="295" spans="1:18">
      <c r="A295" s="257" t="s">
        <v>289</v>
      </c>
      <c r="B295" s="258" t="s">
        <v>264</v>
      </c>
      <c r="C295" s="259">
        <v>99254</v>
      </c>
      <c r="D295" s="246">
        <v>2162</v>
      </c>
      <c r="E295" s="246">
        <f>C295+D295</f>
        <v>101416</v>
      </c>
      <c r="F295" s="181">
        <f>IF(E295&gt;$L$5,$N$5*(E295-$L$5)+$N$4*($L$5-$L$4)+$N$3*($L$4-$L$1),IF($L$5&gt;E295&gt;$L$4,$N$4*(E295-$L$4)+$N$3*($L$4-$L$1),0))</f>
        <v>12804.192000000001</v>
      </c>
      <c r="G295" s="247">
        <f>E295*$G$10</f>
        <v>20891.696</v>
      </c>
      <c r="H295" s="247">
        <f>E295/100*0.5</f>
        <v>507.08</v>
      </c>
      <c r="I295" s="247">
        <f>F295+G295+H295</f>
        <v>34202.968</v>
      </c>
      <c r="J295" s="246">
        <f>E295+I295</f>
        <v>135618.968</v>
      </c>
      <c r="K295" s="181">
        <f>J295/$K$10</f>
        <v>11301.580666666667</v>
      </c>
      <c r="L295" s="181">
        <f>J295/$L$10</f>
        <v>616.44985454545451</v>
      </c>
      <c r="M295" s="181">
        <f>J295/$M$10</f>
        <v>3082.2492727272725</v>
      </c>
      <c r="N295" s="181">
        <f>J295/$N$10</f>
        <v>82.193313939393931</v>
      </c>
      <c r="P295" s="181">
        <f>0.1*C295</f>
        <v>9925.4000000000015</v>
      </c>
      <c r="Q295" s="181">
        <f>0.1*J295</f>
        <v>13561.8968</v>
      </c>
      <c r="R295" s="229"/>
    </row>
    <row r="296" spans="1:18">
      <c r="A296" s="257" t="s">
        <v>289</v>
      </c>
      <c r="B296" s="258" t="s">
        <v>269</v>
      </c>
      <c r="C296" s="259">
        <v>105042</v>
      </c>
      <c r="D296" s="246">
        <v>2162</v>
      </c>
      <c r="E296" s="246">
        <f>C296+D296</f>
        <v>107204</v>
      </c>
      <c r="F296" s="181">
        <f>IF(E296&gt;$L$5,$N$5*(E296-$L$5)+$N$4*($L$5-$L$4)+$N$3*($L$4-$L$1),IF($L$5&gt;E296&gt;$L$4,$N$4*(E296-$L$4)+$N$3*($L$4-$L$1),0))</f>
        <v>13602.936000000002</v>
      </c>
      <c r="G296" s="247">
        <f>E296*$G$10</f>
        <v>22084.023999999998</v>
      </c>
      <c r="H296" s="247">
        <f>E296/100*0.5</f>
        <v>536.02</v>
      </c>
      <c r="I296" s="247">
        <f>F296+G296+H296</f>
        <v>36222.979999999996</v>
      </c>
      <c r="J296" s="246">
        <f>E296+I296</f>
        <v>143426.97999999998</v>
      </c>
      <c r="K296" s="181">
        <f>J296/$K$10</f>
        <v>11952.248333333331</v>
      </c>
      <c r="L296" s="181">
        <f>J296/$L$10</f>
        <v>651.94081818181814</v>
      </c>
      <c r="M296" s="181">
        <f>J296/$M$10</f>
        <v>3259.7040909090906</v>
      </c>
      <c r="N296" s="181">
        <f>J296/$N$10</f>
        <v>86.925442424242419</v>
      </c>
      <c r="P296" s="181">
        <f>0.1*C296</f>
        <v>10504.2</v>
      </c>
      <c r="Q296" s="181">
        <f>0.1*J296</f>
        <v>14342.697999999999</v>
      </c>
      <c r="R296" s="229"/>
    </row>
    <row r="297" spans="1:18">
      <c r="A297" s="252"/>
      <c r="B297" s="203"/>
      <c r="C297" s="251"/>
      <c r="D297" s="251"/>
      <c r="E297" s="251"/>
      <c r="F297" s="229"/>
      <c r="G297" s="226"/>
      <c r="H297" s="226"/>
      <c r="I297" s="226"/>
      <c r="J297" s="251"/>
      <c r="K297" s="229"/>
      <c r="L297" s="229"/>
      <c r="M297" s="229"/>
      <c r="N297" s="229"/>
      <c r="P297" s="229"/>
      <c r="Q297" s="229"/>
      <c r="R297" s="229"/>
    </row>
    <row r="298" spans="1:18">
      <c r="A298" s="252" t="s">
        <v>241</v>
      </c>
      <c r="B298" s="203"/>
      <c r="C298" s="251"/>
      <c r="D298" s="251"/>
      <c r="E298" s="251"/>
      <c r="F298" s="229"/>
      <c r="G298" s="226"/>
      <c r="H298" s="226"/>
      <c r="I298" s="226"/>
      <c r="J298" s="251"/>
      <c r="K298" s="229"/>
      <c r="L298" s="229"/>
      <c r="M298" s="229"/>
      <c r="N298" s="229"/>
      <c r="P298" s="229"/>
      <c r="Q298" s="229"/>
      <c r="R298" s="229"/>
    </row>
    <row r="299" spans="1:18">
      <c r="A299" s="252"/>
      <c r="B299" s="203"/>
      <c r="C299" s="251"/>
      <c r="D299" s="251"/>
      <c r="E299" s="251"/>
      <c r="F299" s="229"/>
      <c r="G299" s="226"/>
      <c r="H299" s="226"/>
      <c r="I299" s="226"/>
      <c r="J299" s="251"/>
      <c r="K299" s="229"/>
      <c r="L299" s="229"/>
      <c r="M299" s="229"/>
      <c r="N299" s="229"/>
      <c r="P299" s="229"/>
      <c r="Q299" s="229"/>
      <c r="R299" s="229"/>
    </row>
    <row r="300" spans="1:17" ht="15">
      <c r="A300" s="252"/>
      <c r="B300" s="242" t="s">
        <v>242</v>
      </c>
      <c r="D300" s="242" t="s">
        <v>243</v>
      </c>
      <c r="E300" s="251"/>
      <c r="F300" s="253"/>
      <c r="G300" s="242" t="s">
        <v>244</v>
      </c>
      <c r="H300" s="243"/>
      <c r="I300" s="251"/>
      <c r="J300" s="229"/>
      <c r="K300" s="229"/>
      <c r="L300" s="229"/>
      <c r="M300" s="229"/>
      <c r="O300" s="229"/>
      <c r="P300" s="229"/>
      <c r="Q300" s="229"/>
    </row>
    <row r="301" spans="2:8">
      <c r="B301" s="181">
        <v>3268</v>
      </c>
      <c r="C301" s="254">
        <v>1</v>
      </c>
      <c r="D301" s="181">
        <v>3016</v>
      </c>
      <c r="F301" s="254" t="s">
        <v>245</v>
      </c>
      <c r="G301" s="181">
        <v>32601</v>
      </c>
      <c r="H301" s="229"/>
    </row>
    <row r="302" spans="2:8">
      <c r="B302" s="181">
        <v>6536</v>
      </c>
      <c r="C302" s="254">
        <v>2</v>
      </c>
      <c r="D302" s="181">
        <v>6032</v>
      </c>
      <c r="F302" s="254" t="s">
        <v>246</v>
      </c>
      <c r="G302" s="181">
        <v>57048</v>
      </c>
      <c r="H302" s="229"/>
    </row>
    <row r="303" spans="2:8">
      <c r="B303" s="181">
        <v>9804</v>
      </c>
      <c r="C303" s="254">
        <v>3</v>
      </c>
      <c r="D303" s="181">
        <v>9048</v>
      </c>
      <c r="F303" s="254" t="s">
        <v>247</v>
      </c>
      <c r="G303" s="181">
        <v>77415</v>
      </c>
      <c r="H303" s="229"/>
    </row>
    <row r="304" spans="2:4">
      <c r="B304" s="181">
        <v>13072</v>
      </c>
      <c r="C304" s="254">
        <v>4</v>
      </c>
      <c r="D304" s="181">
        <v>12064</v>
      </c>
    </row>
    <row r="305" spans="2:4">
      <c r="B305" s="181">
        <v>16340</v>
      </c>
      <c r="C305" s="254">
        <v>5</v>
      </c>
      <c r="D305" s="181">
        <v>15080</v>
      </c>
    </row>
    <row r="306" spans="2:4">
      <c r="B306" s="181">
        <v>19608</v>
      </c>
      <c r="C306" s="254">
        <v>6</v>
      </c>
      <c r="D306" s="181">
        <v>18096</v>
      </c>
    </row>
    <row r="307" spans="2:4">
      <c r="B307" s="181">
        <v>22876</v>
      </c>
      <c r="C307" s="254">
        <v>7</v>
      </c>
      <c r="D307" s="181">
        <v>24128</v>
      </c>
    </row>
    <row r="308" spans="2:4">
      <c r="B308" s="181">
        <v>26144</v>
      </c>
      <c r="C308" s="254">
        <v>8</v>
      </c>
      <c r="D308" s="181">
        <v>30160</v>
      </c>
    </row>
    <row r="309" spans="2:4">
      <c r="B309" s="179"/>
      <c r="C309" s="254" t="s">
        <v>248</v>
      </c>
      <c r="D309" s="181">
        <v>36192</v>
      </c>
    </row>
    <row r="310" spans="2:4">
      <c r="B310" s="179"/>
      <c r="C310" s="254" t="s">
        <v>249</v>
      </c>
      <c r="D310" s="181">
        <v>47582</v>
      </c>
    </row>
    <row r="311" spans="2:4">
      <c r="B311" s="179"/>
      <c r="C311" s="254" t="s">
        <v>250</v>
      </c>
      <c r="D311" s="181">
        <v>59477</v>
      </c>
    </row>
    <row r="312" spans="2:4">
      <c r="B312" s="179"/>
      <c r="C312" s="254" t="s">
        <v>251</v>
      </c>
      <c r="D312" s="181">
        <v>77320</v>
      </c>
    </row>
    <row r="313" spans="2:3">
      <c r="B313" s="179"/>
      <c r="C313" s="253"/>
    </row>
    <row r="314" spans="2:2">
      <c r="B314" s="179"/>
    </row>
    <row r="315" spans="2:2">
      <c r="B315" s="179"/>
    </row>
    <row r="316" spans="2:2">
      <c r="B316" s="179"/>
    </row>
    <row r="317" spans="2:2">
      <c r="B317" s="179"/>
    </row>
  </sheetData>
  <mergeCells count="2">
    <mergeCell ref="A7:D7"/>
    <mergeCell ref="E7:K7"/>
  </mergeCells>
  <pageMargins left="0.7" right="0.7" top="0.75" bottom="0.75" header="0.3" footer="0.3"/>
  <headerFooter scaleWithDoc="1" alignWithMargins="0" differentFirst="0" differentOddEven="0"/>
  <extLst/>
</worksheet>
</file>

<file path=xl/worksheets/sheet1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N90"/>
  <sheetViews>
    <sheetView topLeftCell="A8" view="normal" workbookViewId="0">
      <selection pane="topLeft" activeCell="A1" sqref="A1:XFD10"/>
    </sheetView>
  </sheetViews>
  <sheetFormatPr defaultRowHeight="12.75"/>
  <cols>
    <col min="1" max="2" width="9.125" style="179" customWidth="1"/>
    <col min="3" max="3" width="9.75390625" style="179" bestFit="1" customWidth="1"/>
    <col min="4" max="10" width="9.125" style="179" customWidth="1"/>
    <col min="11" max="11" width="8.00390625" style="179" bestFit="1" customWidth="1"/>
    <col min="12" max="12" width="10.125" style="179" bestFit="1" customWidth="1"/>
    <col min="13" max="16384" width="9.125" style="179" customWidth="1"/>
  </cols>
  <sheetData>
    <row r="1" spans="5:11" ht="13.5" hidden="1" thickBot="1">
      <c r="E1" s="179" t="s">
        <v>290</v>
      </c>
      <c r="G1" s="179" t="s">
        <v>291</v>
      </c>
      <c r="H1" s="179"/>
      <c r="K1" s="179" t="s">
        <v>292</v>
      </c>
    </row>
    <row r="2" spans="5:14" ht="13.5" hidden="1" thickBot="1">
      <c r="E2" s="179" t="s">
        <v>229</v>
      </c>
      <c r="G2" s="260" t="s">
        <v>293</v>
      </c>
      <c r="H2" s="261"/>
      <c r="I2" s="262">
        <v>0.2</v>
      </c>
      <c r="K2" s="180" t="s">
        <v>168</v>
      </c>
      <c r="L2" s="181">
        <v>6136</v>
      </c>
      <c r="M2" s="182" t="s">
        <v>169</v>
      </c>
      <c r="N2" s="183"/>
    </row>
    <row r="3" spans="5:14" ht="13.5" hidden="1" thickBot="1">
      <c r="E3" s="184">
        <v>0.206</v>
      </c>
      <c r="G3" s="185" t="s">
        <v>294</v>
      </c>
      <c r="H3" s="228"/>
      <c r="I3" s="263">
        <v>4326</v>
      </c>
      <c r="K3" s="180" t="s">
        <v>170</v>
      </c>
      <c r="L3" s="181">
        <v>50000</v>
      </c>
      <c r="M3" s="185"/>
      <c r="N3" s="186"/>
    </row>
    <row r="4" spans="7:14" ht="13.5" hidden="1" thickBot="1">
      <c r="G4" s="192" t="s">
        <v>295</v>
      </c>
      <c r="H4" s="264"/>
      <c r="I4" s="265">
        <v>6663</v>
      </c>
      <c r="K4" s="180" t="s">
        <v>171</v>
      </c>
      <c r="L4" s="181">
        <v>8632</v>
      </c>
      <c r="M4" s="185" t="s">
        <v>172</v>
      </c>
      <c r="N4" s="187">
        <v>0</v>
      </c>
    </row>
    <row r="5" spans="7:14" ht="13.5" hidden="1" thickBot="1">
      <c r="G5" s="228"/>
      <c r="H5" s="228"/>
      <c r="I5" s="266"/>
      <c r="K5" s="188" t="s">
        <v>174</v>
      </c>
      <c r="L5" s="189">
        <v>8632</v>
      </c>
      <c r="M5" s="190" t="s">
        <v>175</v>
      </c>
      <c r="N5" s="191">
        <v>0.138</v>
      </c>
    </row>
    <row r="6" spans="7:14" ht="13.5" customHeight="1" hidden="1">
      <c r="G6" s="228"/>
      <c r="H6" s="228"/>
      <c r="I6" s="266"/>
      <c r="K6" s="180" t="s">
        <v>176</v>
      </c>
      <c r="L6" s="181">
        <v>50000</v>
      </c>
      <c r="M6" s="192" t="s">
        <v>177</v>
      </c>
      <c r="N6" s="193">
        <v>0.138</v>
      </c>
    </row>
    <row r="7" spans="11:11" ht="13.5" hidden="1" thickBot="1">
      <c r="K7" s="267"/>
    </row>
    <row r="8" spans="1:14" ht="21" thickBot="1">
      <c r="A8" s="310" t="s">
        <v>296</v>
      </c>
      <c r="B8" s="310"/>
      <c r="C8" s="310"/>
      <c r="D8" s="310"/>
      <c r="E8" s="310"/>
      <c r="F8" s="310"/>
      <c r="G8" s="310"/>
      <c r="H8" s="310"/>
      <c r="I8" s="310"/>
      <c r="J8" s="310"/>
      <c r="K8" s="268"/>
      <c r="L8" s="268"/>
      <c r="M8" s="268"/>
      <c r="N8" s="269"/>
    </row>
    <row r="9" spans="1:14" ht="21" thickBot="1">
      <c r="A9" s="268"/>
      <c r="B9" s="194"/>
      <c r="C9" s="195"/>
      <c r="D9" s="195"/>
      <c r="E9" s="195"/>
      <c r="F9" s="195"/>
      <c r="G9" s="195"/>
      <c r="H9" s="195"/>
      <c r="I9" s="195"/>
      <c r="J9" s="195"/>
      <c r="K9" s="195"/>
      <c r="L9" s="228"/>
      <c r="M9" s="228"/>
      <c r="N9" s="270"/>
    </row>
    <row r="10" spans="1:14" ht="38.25">
      <c r="A10" s="271"/>
      <c r="B10" s="272" t="s">
        <v>179</v>
      </c>
      <c r="C10" s="273" t="s">
        <v>180</v>
      </c>
      <c r="D10" s="273" t="s">
        <v>181</v>
      </c>
      <c r="E10" s="273" t="s">
        <v>182</v>
      </c>
      <c r="F10" s="273" t="s">
        <v>183</v>
      </c>
      <c r="G10" s="273"/>
      <c r="H10" s="273"/>
      <c r="I10" s="273"/>
      <c r="J10" s="273" t="s">
        <v>184</v>
      </c>
      <c r="K10" s="273" t="s">
        <v>185</v>
      </c>
      <c r="L10" s="273" t="s">
        <v>186</v>
      </c>
      <c r="M10" s="273" t="s">
        <v>187</v>
      </c>
      <c r="N10" s="274" t="s">
        <v>188</v>
      </c>
    </row>
    <row r="11" spans="1:14">
      <c r="A11" s="275"/>
      <c r="B11" s="276"/>
      <c r="C11" s="208"/>
      <c r="D11" s="208"/>
      <c r="E11" s="208"/>
      <c r="F11" s="208" t="s">
        <v>229</v>
      </c>
      <c r="G11" s="208" t="s">
        <v>190</v>
      </c>
      <c r="H11" s="208" t="s">
        <v>191</v>
      </c>
      <c r="I11" s="208" t="s">
        <v>182</v>
      </c>
      <c r="J11" s="208"/>
      <c r="K11" s="208">
        <v>12</v>
      </c>
      <c r="L11" s="208">
        <v>220</v>
      </c>
      <c r="M11" s="208">
        <v>44</v>
      </c>
      <c r="N11" s="277">
        <v>1650</v>
      </c>
    </row>
    <row r="12" spans="1:14">
      <c r="A12" s="278" t="s">
        <v>297</v>
      </c>
      <c r="B12" s="279">
        <v>2</v>
      </c>
      <c r="C12" s="201">
        <v>17460</v>
      </c>
      <c r="D12" s="280">
        <f>IF($I$2*C12&gt;$I$4,$I$4,IF($I$2*C12&lt;$I$3,$I$3,$I$2*C12))</f>
        <v>4326</v>
      </c>
      <c r="E12" s="197">
        <f>C12+D12</f>
        <v>21786</v>
      </c>
      <c r="F12" s="197">
        <f>ROUND(E12*$E$3,0)</f>
        <v>4488</v>
      </c>
      <c r="G12" s="197">
        <f>ROUND(IF(E12&gt;$L$6,$N$6*(E12-$L$6)+$N$5*($L$6-$L$5)+$N$4*($L$5-$L$2),IF($L$6&gt;E12&gt;$L$5,$N$5*(E12-$L$5)+$N$4*($L$5-$L$2),0)),0)</f>
        <v>1815</v>
      </c>
      <c r="H12" s="197">
        <f>E12/100*0.5</f>
        <v>108.93</v>
      </c>
      <c r="I12" s="197">
        <f>F12+G12+H12</f>
        <v>6411.93</v>
      </c>
      <c r="J12" s="197">
        <f>I12+E12</f>
        <v>28197.93</v>
      </c>
      <c r="K12" s="197">
        <f>J12/$K$11</f>
        <v>2349.8275</v>
      </c>
      <c r="L12" s="198">
        <f>J12/$L$11</f>
        <v>128.1724090909091</v>
      </c>
      <c r="M12" s="198">
        <f>J12/$M$11</f>
        <v>640.86204545454541</v>
      </c>
      <c r="N12" s="199">
        <f>J12/$N$11</f>
        <v>17.089654545454547</v>
      </c>
    </row>
    <row r="13" spans="1:14">
      <c r="A13" s="281"/>
      <c r="B13" s="279">
        <v>3</v>
      </c>
      <c r="C13" s="201">
        <v>17460</v>
      </c>
      <c r="D13" s="280">
        <f>IF($I$2*C13&gt;$I$4,$I$4,IF($I$2*C13&lt;$I$3,$I$3,$I$2*C13))</f>
        <v>4326</v>
      </c>
      <c r="E13" s="197">
        <f>C13+D13</f>
        <v>21786</v>
      </c>
      <c r="F13" s="197">
        <f>ROUND(E13*$E$3,0)</f>
        <v>4488</v>
      </c>
      <c r="G13" s="197">
        <f>ROUND(IF(E13&gt;$L$6,$N$6*(E13-$L$6)+$N$5*($L$6-$L$5)+$N$4*($L$5-$L$2),IF($L$6&gt;E13&gt;$L$5,$N$5*(E13-$L$5)+$N$4*($L$5-$L$2),0)),0)</f>
        <v>1815</v>
      </c>
      <c r="H13" s="197">
        <f>E13/100*0.5</f>
        <v>108.93</v>
      </c>
      <c r="I13" s="197">
        <f>F13+G13+H13</f>
        <v>6411.93</v>
      </c>
      <c r="J13" s="197">
        <f>I13+E13</f>
        <v>28197.93</v>
      </c>
      <c r="K13" s="197">
        <f>J13/$K$11</f>
        <v>2349.8275</v>
      </c>
      <c r="L13" s="198">
        <f>J13/$L$11</f>
        <v>128.1724090909091</v>
      </c>
      <c r="M13" s="198">
        <f>J13/$M$11</f>
        <v>640.86204545454541</v>
      </c>
      <c r="N13" s="199">
        <f>J13/$N$11</f>
        <v>17.089654545454547</v>
      </c>
    </row>
    <row r="14" spans="1:14">
      <c r="A14" s="278" t="s">
        <v>298</v>
      </c>
      <c r="B14" s="279">
        <v>2</v>
      </c>
      <c r="C14" s="282">
        <v>17460</v>
      </c>
      <c r="D14" s="280">
        <f>IF($I$2*C14&gt;$I$4,$I$4,IF($I$2*C14&lt;$I$3,$I$3,$I$2*C14))</f>
        <v>4326</v>
      </c>
      <c r="E14" s="197">
        <f>C14+D14</f>
        <v>21786</v>
      </c>
      <c r="F14" s="197">
        <f>ROUND(E14*$E$3,0)</f>
        <v>4488</v>
      </c>
      <c r="G14" s="197">
        <f>ROUND(IF(E14&gt;$L$6,$N$6*(E14-$L$6)+$N$5*($L$6-$L$5)+$N$4*($L$5-$L$2),IF($L$6&gt;E14&gt;$L$5,$N$5*(E14-$L$5)+$N$4*($L$5-$L$2),0)),0)</f>
        <v>1815</v>
      </c>
      <c r="H14" s="197">
        <f>E14/100*0.5</f>
        <v>108.93</v>
      </c>
      <c r="I14" s="197">
        <f>F14+G14+H14</f>
        <v>6411.93</v>
      </c>
      <c r="J14" s="197">
        <f>I14+E14</f>
        <v>28197.93</v>
      </c>
      <c r="K14" s="197">
        <f>J14/$K$11</f>
        <v>2349.8275</v>
      </c>
      <c r="L14" s="198">
        <f>J14/$L$11</f>
        <v>128.1724090909091</v>
      </c>
      <c r="M14" s="198">
        <f>J14/$M$11</f>
        <v>640.86204545454541</v>
      </c>
      <c r="N14" s="199">
        <f>J14/$N$11</f>
        <v>17.089654545454547</v>
      </c>
    </row>
    <row r="15" spans="1:14">
      <c r="A15" s="283"/>
      <c r="B15" s="279">
        <v>3</v>
      </c>
      <c r="C15" s="282">
        <v>17460</v>
      </c>
      <c r="D15" s="280">
        <f>IF($I$2*C15&gt;$I$4,$I$4,IF($I$2*C15&lt;$I$3,$I$3,$I$2*C15))</f>
        <v>4326</v>
      </c>
      <c r="E15" s="197">
        <f>C15+D15</f>
        <v>21786</v>
      </c>
      <c r="F15" s="197">
        <f>ROUND(E15*$E$3,0)</f>
        <v>4488</v>
      </c>
      <c r="G15" s="197">
        <f>ROUND(IF(E15&gt;$L$6,$N$6*(E15-$L$6)+$N$5*($L$6-$L$5)+$N$4*($L$5-$L$2),IF($L$6&gt;E15&gt;$L$5,$N$5*(E15-$L$5)+$N$4*($L$5-$L$2),0)),0)</f>
        <v>1815</v>
      </c>
      <c r="H15" s="197">
        <f>E15/100*0.5</f>
        <v>108.93</v>
      </c>
      <c r="I15" s="197">
        <f>F15+G15+H15</f>
        <v>6411.93</v>
      </c>
      <c r="J15" s="197">
        <f>I15+E15</f>
        <v>28197.93</v>
      </c>
      <c r="K15" s="197">
        <f>J15/$K$11</f>
        <v>2349.8275</v>
      </c>
      <c r="L15" s="198">
        <f>J15/$L$11</f>
        <v>128.1724090909091</v>
      </c>
      <c r="M15" s="198">
        <f>J15/$M$11</f>
        <v>640.86204545454541</v>
      </c>
      <c r="N15" s="199">
        <f>J15/$N$11</f>
        <v>17.089654545454547</v>
      </c>
    </row>
    <row r="16" spans="1:14">
      <c r="A16" s="283"/>
      <c r="B16" s="279">
        <v>4</v>
      </c>
      <c r="C16" s="282">
        <v>17460</v>
      </c>
      <c r="D16" s="280">
        <f>IF($I$2*C16&gt;$I$4,$I$4,IF($I$2*C16&lt;$I$3,$I$3,$I$2*C16))</f>
        <v>4326</v>
      </c>
      <c r="E16" s="197">
        <f>C16+D16</f>
        <v>21786</v>
      </c>
      <c r="F16" s="197">
        <f>ROUND(E16*$E$3,0)</f>
        <v>4488</v>
      </c>
      <c r="G16" s="197">
        <f>ROUND(IF(E16&gt;$L$6,$N$6*(E16-$L$6)+$N$5*($L$6-$L$5)+$N$4*($L$5-$L$2),IF($L$6&gt;E16&gt;$L$5,$N$5*(E16-$L$5)+$N$4*($L$5-$L$2),0)),0)</f>
        <v>1815</v>
      </c>
      <c r="H16" s="197">
        <f>E16/100*0.5</f>
        <v>108.93</v>
      </c>
      <c r="I16" s="197">
        <f>F16+G16+H16</f>
        <v>6411.93</v>
      </c>
      <c r="J16" s="197">
        <f>I16+E16</f>
        <v>28197.93</v>
      </c>
      <c r="K16" s="197">
        <f>J16/$K$11</f>
        <v>2349.8275</v>
      </c>
      <c r="L16" s="198">
        <f>J16/$L$11</f>
        <v>128.1724090909091</v>
      </c>
      <c r="M16" s="198">
        <f>J16/$M$11</f>
        <v>640.86204545454541</v>
      </c>
      <c r="N16" s="199">
        <f>J16/$N$11</f>
        <v>17.089654545454547</v>
      </c>
    </row>
    <row r="17" spans="1:14">
      <c r="A17" s="283"/>
      <c r="B17" s="279">
        <v>5</v>
      </c>
      <c r="C17" s="282">
        <v>17460</v>
      </c>
      <c r="D17" s="280">
        <f>IF($I$2*C17&gt;$I$4,$I$4,IF($I$2*C17&lt;$I$3,$I$3,$I$2*C17))</f>
        <v>4326</v>
      </c>
      <c r="E17" s="197">
        <f>C17+D17</f>
        <v>21786</v>
      </c>
      <c r="F17" s="197">
        <f>ROUND(E17*$E$3,0)</f>
        <v>4488</v>
      </c>
      <c r="G17" s="197">
        <f>ROUND(IF(E17&gt;$L$6,$N$6*(E17-$L$6)+$N$5*($L$6-$L$5)+$N$4*($L$5-$L$2),IF($L$6&gt;E17&gt;$L$5,$N$5*(E17-$L$5)+$N$4*($L$5-$L$2),0)),0)</f>
        <v>1815</v>
      </c>
      <c r="H17" s="197">
        <f>E17/100*0.5</f>
        <v>108.93</v>
      </c>
      <c r="I17" s="197">
        <f>F17+G17+H17</f>
        <v>6411.93</v>
      </c>
      <c r="J17" s="197">
        <f>I17+E17</f>
        <v>28197.93</v>
      </c>
      <c r="K17" s="197">
        <f>J17/$K$11</f>
        <v>2349.8275</v>
      </c>
      <c r="L17" s="198">
        <f>J17/$L$11</f>
        <v>128.1724090909091</v>
      </c>
      <c r="M17" s="198">
        <f>J17/$M$11</f>
        <v>640.86204545454541</v>
      </c>
      <c r="N17" s="199">
        <f>J17/$N$11</f>
        <v>17.089654545454547</v>
      </c>
    </row>
    <row r="18" spans="1:14">
      <c r="A18" s="283"/>
      <c r="B18" s="279">
        <v>6</v>
      </c>
      <c r="C18" s="282">
        <v>17787</v>
      </c>
      <c r="D18" s="280">
        <f>IF($I$2*C18&gt;$I$4,$I$4,IF($I$2*C18&lt;$I$3,$I$3,$I$2*C18))</f>
        <v>4326</v>
      </c>
      <c r="E18" s="197">
        <f>C18+D18</f>
        <v>22113</v>
      </c>
      <c r="F18" s="197">
        <f>ROUND(E18*$E$3,0)</f>
        <v>4555</v>
      </c>
      <c r="G18" s="197">
        <f>ROUND(IF(E18&gt;$L$6,$N$6*(E18-$L$6)+$N$5*($L$6-$L$5)+$N$4*($L$5-$L$2),IF($L$6&gt;E18&gt;$L$5,$N$5*(E18-$L$5)+$N$4*($L$5-$L$2),0)),0)</f>
        <v>1860</v>
      </c>
      <c r="H18" s="197">
        <f>E18/100*0.5</f>
        <v>110.565</v>
      </c>
      <c r="I18" s="197">
        <f>F18+G18+H18</f>
        <v>6525.565</v>
      </c>
      <c r="J18" s="197">
        <f>I18+E18</f>
        <v>28638.565</v>
      </c>
      <c r="K18" s="197">
        <f>J18/$K$11</f>
        <v>2386.5470833333334</v>
      </c>
      <c r="L18" s="198">
        <f>J18/$L$11</f>
        <v>130.17529545454545</v>
      </c>
      <c r="M18" s="198">
        <f>J18/$M$11</f>
        <v>650.87647727272724</v>
      </c>
      <c r="N18" s="199">
        <f>J18/$N$11</f>
        <v>17.356706060606061</v>
      </c>
    </row>
    <row r="19" spans="1:14">
      <c r="A19" s="283"/>
      <c r="B19" s="279">
        <v>7</v>
      </c>
      <c r="C19" s="282">
        <v>18702</v>
      </c>
      <c r="D19" s="280">
        <f>IF($I$2*C19&gt;$I$4,$I$4,IF($I$2*C19&lt;$I$3,$I$3,$I$2*C19))</f>
        <v>4326</v>
      </c>
      <c r="E19" s="197">
        <f>C19+D19</f>
        <v>23028</v>
      </c>
      <c r="F19" s="197">
        <f>ROUND(E19*$E$3,0)</f>
        <v>4744</v>
      </c>
      <c r="G19" s="197">
        <f>ROUND(IF(E19&gt;$L$6,$N$6*(E19-$L$6)+$N$5*($L$6-$L$5)+$N$4*($L$5-$L$2),IF($L$6&gt;E19&gt;$L$5,$N$5*(E19-$L$5)+$N$4*($L$5-$L$2),0)),0)</f>
        <v>1987</v>
      </c>
      <c r="H19" s="197">
        <f>E19/100*0.5</f>
        <v>115.14</v>
      </c>
      <c r="I19" s="197">
        <f>F19+G19+H19</f>
        <v>6846.14</v>
      </c>
      <c r="J19" s="197">
        <f>I19+E19</f>
        <v>29874.14</v>
      </c>
      <c r="K19" s="197">
        <f>J19/$K$11</f>
        <v>2489.5116666666668</v>
      </c>
      <c r="L19" s="198">
        <f>J19/$L$11</f>
        <v>135.79154545454546</v>
      </c>
      <c r="M19" s="198">
        <f>J19/$M$11</f>
        <v>678.95772727272731</v>
      </c>
      <c r="N19" s="199">
        <f>J19/$N$11</f>
        <v>18.105539393939395</v>
      </c>
    </row>
    <row r="20" spans="1:14">
      <c r="A20" s="281"/>
      <c r="B20" s="279">
        <v>8</v>
      </c>
      <c r="C20" s="282">
        <v>18702</v>
      </c>
      <c r="D20" s="280">
        <f>IF($I$2*C20&gt;$I$4,$I$4,IF($I$2*C20&lt;$I$3,$I$3,$I$2*C20))</f>
        <v>4326</v>
      </c>
      <c r="E20" s="197">
        <f>C20+D20</f>
        <v>23028</v>
      </c>
      <c r="F20" s="197">
        <f>ROUND(E20*$E$3,0)</f>
        <v>4744</v>
      </c>
      <c r="G20" s="197">
        <f>ROUND(IF(E20&gt;$L$6,$N$6*(E20-$L$6)+$N$5*($L$6-$L$5)+$N$4*($L$5-$L$2),IF($L$6&gt;E20&gt;$L$5,$N$5*(E20-$L$5)+$N$4*($L$5-$L$2),0)),0)</f>
        <v>1987</v>
      </c>
      <c r="H20" s="197">
        <f>E20/100*0.5</f>
        <v>115.14</v>
      </c>
      <c r="I20" s="197">
        <f>F20+G20+H20</f>
        <v>6846.14</v>
      </c>
      <c r="J20" s="197">
        <f>I20+E20</f>
        <v>29874.14</v>
      </c>
      <c r="K20" s="197">
        <f>J20/$K$11</f>
        <v>2489.5116666666668</v>
      </c>
      <c r="L20" s="198">
        <f>J20/$L$11</f>
        <v>135.79154545454546</v>
      </c>
      <c r="M20" s="198">
        <f>J20/$M$11</f>
        <v>678.95772727272731</v>
      </c>
      <c r="N20" s="199">
        <f>J20/$N$11</f>
        <v>18.105539393939395</v>
      </c>
    </row>
    <row r="21" spans="1:14">
      <c r="A21" s="278" t="s">
        <v>299</v>
      </c>
      <c r="B21" s="279">
        <v>6</v>
      </c>
      <c r="C21" s="282">
        <v>17787</v>
      </c>
      <c r="D21" s="280">
        <f>IF($I$2*C21&gt;$I$4,$I$4,IF($I$2*C21&lt;$I$3,$I$3,$I$2*C21))</f>
        <v>4326</v>
      </c>
      <c r="E21" s="197">
        <f>C21+D21</f>
        <v>22113</v>
      </c>
      <c r="F21" s="197">
        <f>ROUND(E21*$E$3,0)</f>
        <v>4555</v>
      </c>
      <c r="G21" s="197">
        <f>ROUND(IF(E21&gt;$L$6,$N$6*(E21-$L$6)+$N$5*($L$6-$L$5)+$N$4*($L$5-$L$2),IF($L$6&gt;E21&gt;$L$5,$N$5*(E21-$L$5)+$N$4*($L$5-$L$2),0)),0)</f>
        <v>1860</v>
      </c>
      <c r="H21" s="197">
        <f>E21/100*0.5</f>
        <v>110.565</v>
      </c>
      <c r="I21" s="197">
        <f>F21+G21+H21</f>
        <v>6525.565</v>
      </c>
      <c r="J21" s="197">
        <f>I21+E21</f>
        <v>28638.565</v>
      </c>
      <c r="K21" s="197">
        <f>J21/$K$11</f>
        <v>2386.5470833333334</v>
      </c>
      <c r="L21" s="198">
        <f>J21/$L$11</f>
        <v>130.17529545454545</v>
      </c>
      <c r="M21" s="198">
        <f>J21/$M$11</f>
        <v>650.87647727272724</v>
      </c>
      <c r="N21" s="199">
        <f>J21/$N$11</f>
        <v>17.356706060606061</v>
      </c>
    </row>
    <row r="22" spans="1:14">
      <c r="A22" s="283"/>
      <c r="B22" s="279">
        <v>7</v>
      </c>
      <c r="C22" s="282">
        <v>18429</v>
      </c>
      <c r="D22" s="280">
        <f>IF($I$2*C22&gt;$I$4,$I$4,IF($I$2*C22&lt;$I$3,$I$3,$I$2*C22))</f>
        <v>4326</v>
      </c>
      <c r="E22" s="197">
        <f>C22+D22</f>
        <v>22755</v>
      </c>
      <c r="F22" s="197">
        <f>ROUND(E22*$E$3,0)</f>
        <v>4688</v>
      </c>
      <c r="G22" s="197">
        <f>ROUND(IF(E22&gt;$L$6,$N$6*(E22-$L$6)+$N$5*($L$6-$L$5)+$N$4*($L$5-$L$2),IF($L$6&gt;E22&gt;$L$5,$N$5*(E22-$L$5)+$N$4*($L$5-$L$2),0)),0)</f>
        <v>1949</v>
      </c>
      <c r="H22" s="197">
        <f>E22/100*0.5</f>
        <v>113.775</v>
      </c>
      <c r="I22" s="197">
        <f>F22+G22+H22</f>
        <v>6750.775</v>
      </c>
      <c r="J22" s="197">
        <f>I22+E22</f>
        <v>29505.775</v>
      </c>
      <c r="K22" s="197">
        <f>J22/$K$11</f>
        <v>2458.8145833333333</v>
      </c>
      <c r="L22" s="198">
        <f>J22/$L$11</f>
        <v>134.1171590909091</v>
      </c>
      <c r="M22" s="198">
        <f>J22/$M$11</f>
        <v>670.58579545454552</v>
      </c>
      <c r="N22" s="199">
        <f>J22/$N$11</f>
        <v>17.882287878787881</v>
      </c>
    </row>
    <row r="23" spans="1:14">
      <c r="A23" s="283"/>
      <c r="B23" s="279">
        <v>8</v>
      </c>
      <c r="C23" s="282">
        <v>18608</v>
      </c>
      <c r="D23" s="280">
        <f>IF($I$2*C23&gt;$I$4,$I$4,IF($I$2*C23&lt;$I$3,$I$3,$I$2*C23))</f>
        <v>4326</v>
      </c>
      <c r="E23" s="197">
        <f>C23+D23</f>
        <v>22934</v>
      </c>
      <c r="F23" s="197">
        <f>ROUND(E23*$E$3,0)</f>
        <v>4724</v>
      </c>
      <c r="G23" s="197">
        <f>ROUND(IF(E23&gt;$L$6,$N$6*(E23-$L$6)+$N$5*($L$6-$L$5)+$N$4*($L$5-$L$2),IF($L$6&gt;E23&gt;$L$5,$N$5*(E23-$L$5)+$N$4*($L$5-$L$2),0)),0)</f>
        <v>1974</v>
      </c>
      <c r="H23" s="197">
        <f>E23/100*0.5</f>
        <v>114.67</v>
      </c>
      <c r="I23" s="197">
        <f>F23+G23+H23</f>
        <v>6812.67</v>
      </c>
      <c r="J23" s="197">
        <f>I23+E23</f>
        <v>29746.67</v>
      </c>
      <c r="K23" s="197">
        <f>J23/$K$11</f>
        <v>2478.8891666666664</v>
      </c>
      <c r="L23" s="198">
        <f>J23/$L$11</f>
        <v>135.21213636363635</v>
      </c>
      <c r="M23" s="198">
        <f>J23/$M$11</f>
        <v>676.06068181818182</v>
      </c>
      <c r="N23" s="199">
        <f>J23/$N$11</f>
        <v>18.028284848484848</v>
      </c>
    </row>
    <row r="24" spans="1:14">
      <c r="A24" s="283"/>
      <c r="B24" s="279">
        <v>9</v>
      </c>
      <c r="C24" s="282">
        <v>19122</v>
      </c>
      <c r="D24" s="280">
        <f>IF($I$2*C24&gt;$I$4,$I$4,IF($I$2*C24&lt;$I$3,$I$3,$I$2*C24))</f>
        <v>4326</v>
      </c>
      <c r="E24" s="197">
        <f>C24+D24</f>
        <v>23448</v>
      </c>
      <c r="F24" s="197">
        <f>ROUND(E24*$E$3,0)</f>
        <v>4830</v>
      </c>
      <c r="G24" s="197">
        <f>ROUND(IF(E24&gt;$L$6,$N$6*(E24-$L$6)+$N$5*($L$6-$L$5)+$N$4*($L$5-$L$2),IF($L$6&gt;E24&gt;$L$5,$N$5*(E24-$L$5)+$N$4*($L$5-$L$2),0)),0)</f>
        <v>2045</v>
      </c>
      <c r="H24" s="197">
        <f>E24/100*0.5</f>
        <v>117.24</v>
      </c>
      <c r="I24" s="197">
        <f>F24+G24+H24</f>
        <v>6992.24</v>
      </c>
      <c r="J24" s="197">
        <f>I24+E24</f>
        <v>30440.239999999998</v>
      </c>
      <c r="K24" s="197">
        <f>J24/$K$11</f>
        <v>2536.6866666666665</v>
      </c>
      <c r="L24" s="198">
        <f>J24/$L$11</f>
        <v>138.36472727272727</v>
      </c>
      <c r="M24" s="198">
        <f>J24/$M$11</f>
        <v>691.8236363636363</v>
      </c>
      <c r="N24" s="199">
        <f>J24/$N$11</f>
        <v>18.448630303030303</v>
      </c>
    </row>
    <row r="25" spans="1:14">
      <c r="A25" s="283"/>
      <c r="B25" s="279">
        <v>10</v>
      </c>
      <c r="C25" s="282">
        <v>19700</v>
      </c>
      <c r="D25" s="280">
        <f>IF($I$2*C25&gt;$I$4,$I$4,IF($I$2*C25&lt;$I$3,$I$3,$I$2*C25))</f>
        <v>4326</v>
      </c>
      <c r="E25" s="197">
        <f>C25+D25</f>
        <v>24026</v>
      </c>
      <c r="F25" s="197">
        <f>ROUND(E25*$E$3,0)</f>
        <v>4949</v>
      </c>
      <c r="G25" s="197">
        <f>ROUND(IF(E25&gt;$L$6,$N$6*(E25-$L$6)+$N$5*($L$6-$L$5)+$N$4*($L$5-$L$2),IF($L$6&gt;E25&gt;$L$5,$N$5*(E25-$L$5)+$N$4*($L$5-$L$2),0)),0)</f>
        <v>2124</v>
      </c>
      <c r="H25" s="197">
        <f>E25/100*0.5</f>
        <v>120.13</v>
      </c>
      <c r="I25" s="197">
        <f>F25+G25+H25</f>
        <v>7193.13</v>
      </c>
      <c r="J25" s="197">
        <f>I25+E25</f>
        <v>31219.13</v>
      </c>
      <c r="K25" s="197">
        <f>J25/$K$11</f>
        <v>2601.5941666666668</v>
      </c>
      <c r="L25" s="198">
        <f>J25/$L$11</f>
        <v>141.90513636363636</v>
      </c>
      <c r="M25" s="198">
        <f>J25/$M$11</f>
        <v>709.52568181818185</v>
      </c>
      <c r="N25" s="199">
        <f>J25/$N$11</f>
        <v>18.92068484848485</v>
      </c>
    </row>
    <row r="26" spans="1:14">
      <c r="A26" s="283"/>
      <c r="B26" s="279">
        <v>11</v>
      </c>
      <c r="C26" s="282">
        <v>20448</v>
      </c>
      <c r="D26" s="280">
        <f>IF($I$2*C26&gt;$I$4,$I$4,IF($I$2*C26&lt;$I$3,$I$3,$I$2*C26))</f>
        <v>4326</v>
      </c>
      <c r="E26" s="197">
        <f>C26+D26</f>
        <v>24774</v>
      </c>
      <c r="F26" s="197">
        <f>ROUND(E26*$E$3,0)</f>
        <v>5103</v>
      </c>
      <c r="G26" s="197">
        <f>ROUND(IF(E26&gt;$L$6,$N$6*(E26-$L$6)+$N$5*($L$6-$L$5)+$N$4*($L$5-$L$2),IF($L$6&gt;E26&gt;$L$5,$N$5*(E26-$L$5)+$N$4*($L$5-$L$2),0)),0)</f>
        <v>2228</v>
      </c>
      <c r="H26" s="197">
        <f>E26/100*0.5</f>
        <v>123.87</v>
      </c>
      <c r="I26" s="197">
        <f>F26+G26+H26</f>
        <v>7454.87</v>
      </c>
      <c r="J26" s="197">
        <f>I26+E26</f>
        <v>32228.87</v>
      </c>
      <c r="K26" s="197">
        <f>J26/$K$11</f>
        <v>2685.7391666666667</v>
      </c>
      <c r="L26" s="198">
        <f>J26/$L$11</f>
        <v>146.49486363636362</v>
      </c>
      <c r="M26" s="198">
        <f>J26/$M$11</f>
        <v>732.47431818181815</v>
      </c>
      <c r="N26" s="199">
        <f>J26/$N$11</f>
        <v>19.532648484848483</v>
      </c>
    </row>
    <row r="27" spans="1:14">
      <c r="A27" s="281"/>
      <c r="B27" s="279">
        <v>12</v>
      </c>
      <c r="C27" s="282">
        <v>20448</v>
      </c>
      <c r="D27" s="280">
        <f>IF($I$2*C27&gt;$I$4,$I$4,IF($I$2*C27&lt;$I$3,$I$3,$I$2*C27))</f>
        <v>4326</v>
      </c>
      <c r="E27" s="197">
        <f>C27+D27</f>
        <v>24774</v>
      </c>
      <c r="F27" s="197">
        <f>ROUND(E27*$E$3,0)</f>
        <v>5103</v>
      </c>
      <c r="G27" s="197">
        <f>ROUND(IF(E27&gt;$L$6,$N$6*(E27-$L$6)+$N$5*($L$6-$L$5)+$N$4*($L$5-$L$2),IF($L$6&gt;E27&gt;$L$5,$N$5*(E27-$L$5)+$N$4*($L$5-$L$2),0)),0)</f>
        <v>2228</v>
      </c>
      <c r="H27" s="197">
        <f>E27/100*0.5</f>
        <v>123.87</v>
      </c>
      <c r="I27" s="197">
        <f>F27+G27+H27</f>
        <v>7454.87</v>
      </c>
      <c r="J27" s="197">
        <f>I27+E27</f>
        <v>32228.87</v>
      </c>
      <c r="K27" s="197">
        <f>J27/$K$11</f>
        <v>2685.7391666666667</v>
      </c>
      <c r="L27" s="198">
        <f>J27/$L$11</f>
        <v>146.49486363636362</v>
      </c>
      <c r="M27" s="198">
        <f>J27/$M$11</f>
        <v>732.47431818181815</v>
      </c>
      <c r="N27" s="199">
        <f>J27/$N$11</f>
        <v>19.532648484848483</v>
      </c>
    </row>
    <row r="28" spans="1:14">
      <c r="A28" s="278" t="s">
        <v>300</v>
      </c>
      <c r="B28" s="279">
        <v>11</v>
      </c>
      <c r="C28" s="282">
        <v>20150</v>
      </c>
      <c r="D28" s="280">
        <f>IF($I$2*C28&gt;$I$4,$I$4,IF($I$2*C28&lt;$I$3,$I$3,$I$2*C28))</f>
        <v>4326</v>
      </c>
      <c r="E28" s="197">
        <f>C28+D28</f>
        <v>24476</v>
      </c>
      <c r="F28" s="197">
        <f>ROUND(E28*$E$3,0)</f>
        <v>5042</v>
      </c>
      <c r="G28" s="197">
        <f>ROUND(IF(E28&gt;$L$6,$N$6*(E28-$L$6)+$N$5*($L$6-$L$5)+$N$4*($L$5-$L$2),IF($L$6&gt;E28&gt;$L$5,$N$5*(E28-$L$5)+$N$4*($L$5-$L$2),0)),0)</f>
        <v>2186</v>
      </c>
      <c r="H28" s="197">
        <f>E28/100*0.5</f>
        <v>122.38</v>
      </c>
      <c r="I28" s="197">
        <f>F28+G28+H28</f>
        <v>7350.38</v>
      </c>
      <c r="J28" s="197">
        <f>I28+E28</f>
        <v>31826.38</v>
      </c>
      <c r="K28" s="197">
        <f>J28/$K$11</f>
        <v>2652.1983333333333</v>
      </c>
      <c r="L28" s="198">
        <f>J28/$L$11</f>
        <v>144.66536363636365</v>
      </c>
      <c r="M28" s="198">
        <f>J28/$M$11</f>
        <v>723.32681818181823</v>
      </c>
      <c r="N28" s="199">
        <f>J28/$N$11</f>
        <v>19.288715151515152</v>
      </c>
    </row>
    <row r="29" spans="1:14">
      <c r="A29" s="283"/>
      <c r="B29" s="279">
        <v>12</v>
      </c>
      <c r="C29" s="282">
        <v>20859</v>
      </c>
      <c r="D29" s="280">
        <f>IF($I$2*C29&gt;$I$4,$I$4,IF($I$2*C29&lt;$I$3,$I$3,$I$2*C29))</f>
        <v>4326</v>
      </c>
      <c r="E29" s="197">
        <f>C29+D29</f>
        <v>25185</v>
      </c>
      <c r="F29" s="197">
        <f>ROUND(E29*$E$3,0)</f>
        <v>5188</v>
      </c>
      <c r="G29" s="197">
        <f>ROUND(IF(E29&gt;$L$6,$N$6*(E29-$L$6)+$N$5*($L$6-$L$5)+$N$4*($L$5-$L$2),IF($L$6&gt;E29&gt;$L$5,$N$5*(E29-$L$5)+$N$4*($L$5-$L$2),0)),0)</f>
        <v>2284</v>
      </c>
      <c r="H29" s="197">
        <f>E29/100*0.5</f>
        <v>125.925</v>
      </c>
      <c r="I29" s="197">
        <f>F29+G29+H29</f>
        <v>7597.925</v>
      </c>
      <c r="J29" s="197">
        <f>I29+E29</f>
        <v>32782.925</v>
      </c>
      <c r="K29" s="197">
        <f>J29/$K$11</f>
        <v>2731.9104166666671</v>
      </c>
      <c r="L29" s="198">
        <f>J29/$L$11</f>
        <v>149.01329545454547</v>
      </c>
      <c r="M29" s="198">
        <f>J29/$M$11</f>
        <v>745.0664772727273</v>
      </c>
      <c r="N29" s="199">
        <f>J29/$N$11</f>
        <v>19.868439393939397</v>
      </c>
    </row>
    <row r="30" spans="1:14">
      <c r="A30" s="283"/>
      <c r="B30" s="279">
        <v>13</v>
      </c>
      <c r="C30" s="282">
        <v>21582</v>
      </c>
      <c r="D30" s="280">
        <f>IF($I$2*C30&gt;$I$4,$I$4,IF($I$2*C30&lt;$I$3,$I$3,$I$2*C30))</f>
        <v>4326</v>
      </c>
      <c r="E30" s="197">
        <f>C30+D30</f>
        <v>25908</v>
      </c>
      <c r="F30" s="197">
        <f>ROUND(E30*$E$3,0)</f>
        <v>5337</v>
      </c>
      <c r="G30" s="197">
        <f>ROUND(IF(E30&gt;$L$6,$N$6*(E30-$L$6)+$N$5*($L$6-$L$5)+$N$4*($L$5-$L$2),IF($L$6&gt;E30&gt;$L$5,$N$5*(E30-$L$5)+$N$4*($L$5-$L$2),0)),0)</f>
        <v>2384</v>
      </c>
      <c r="H30" s="197">
        <f>E30/100*0.5</f>
        <v>129.54</v>
      </c>
      <c r="I30" s="197">
        <f>F30+G30+H30</f>
        <v>7850.54</v>
      </c>
      <c r="J30" s="197">
        <f>I30+E30</f>
        <v>33758.54</v>
      </c>
      <c r="K30" s="197">
        <f>J30/$K$11</f>
        <v>2813.2116666666666</v>
      </c>
      <c r="L30" s="198">
        <f>J30/$L$11</f>
        <v>153.44790909090909</v>
      </c>
      <c r="M30" s="198">
        <f>J30/$M$11</f>
        <v>767.23954545454546</v>
      </c>
      <c r="N30" s="199">
        <f>J30/$N$11</f>
        <v>20.459721212121213</v>
      </c>
    </row>
    <row r="31" spans="1:14">
      <c r="A31" s="283"/>
      <c r="B31" s="279">
        <v>14</v>
      </c>
      <c r="C31" s="282">
        <v>22238</v>
      </c>
      <c r="D31" s="280">
        <f>IF($I$2*C31&gt;$I$4,$I$4,IF($I$2*C31&lt;$I$3,$I$3,$I$2*C31))</f>
        <v>4447.6</v>
      </c>
      <c r="E31" s="197">
        <f>C31+D31</f>
        <v>26685.6</v>
      </c>
      <c r="F31" s="197">
        <f>ROUND(E31*$E$3,0)</f>
        <v>5497</v>
      </c>
      <c r="G31" s="197">
        <f>ROUND(IF(E31&gt;$L$6,$N$6*(E31-$L$6)+$N$5*($L$6-$L$5)+$N$4*($L$5-$L$2),IF($L$6&gt;E31&gt;$L$5,$N$5*(E31-$L$5)+$N$4*($L$5-$L$2),0)),0)</f>
        <v>2491</v>
      </c>
      <c r="H31" s="197">
        <f>E31/100*0.5</f>
        <v>133.428</v>
      </c>
      <c r="I31" s="197">
        <f>F31+G31+H31</f>
        <v>8121.428</v>
      </c>
      <c r="J31" s="197">
        <f>I31+E31</f>
        <v>34807.028</v>
      </c>
      <c r="K31" s="197">
        <f>J31/$K$11</f>
        <v>2900.5856666666664</v>
      </c>
      <c r="L31" s="198">
        <f>J31/$L$11</f>
        <v>158.21376363636364</v>
      </c>
      <c r="M31" s="198">
        <f>J31/$M$11</f>
        <v>791.06881818181819</v>
      </c>
      <c r="N31" s="199">
        <f>J31/$N$11</f>
        <v>21.095168484848482</v>
      </c>
    </row>
    <row r="32" spans="1:14">
      <c r="A32" s="283"/>
      <c r="B32" s="279">
        <v>15</v>
      </c>
      <c r="C32" s="282">
        <v>22460</v>
      </c>
      <c r="D32" s="280">
        <f>IF($I$2*C32&gt;$I$4,$I$4,IF($I$2*C32&lt;$I$3,$I$3,$I$2*C32))</f>
        <v>4492</v>
      </c>
      <c r="E32" s="197">
        <f>C32+D32</f>
        <v>26952</v>
      </c>
      <c r="F32" s="197">
        <f>ROUND(E32*$E$3,0)</f>
        <v>5552</v>
      </c>
      <c r="G32" s="197">
        <f>ROUND(IF(E32&gt;$L$6,$N$6*(E32-$L$6)+$N$5*($L$6-$L$5)+$N$4*($L$5-$L$2),IF($L$6&gt;E32&gt;$L$5,$N$5*(E32-$L$5)+$N$4*($L$5-$L$2),0)),0)</f>
        <v>2528</v>
      </c>
      <c r="H32" s="197">
        <f>E32/100*0.5</f>
        <v>134.76</v>
      </c>
      <c r="I32" s="197">
        <f>F32+G32+H32</f>
        <v>8214.76</v>
      </c>
      <c r="J32" s="197">
        <f>I32+E32</f>
        <v>35166.76</v>
      </c>
      <c r="K32" s="197">
        <f>J32/$K$11</f>
        <v>2930.5633333333335</v>
      </c>
      <c r="L32" s="198">
        <f>J32/$L$11</f>
        <v>159.8489090909091</v>
      </c>
      <c r="M32" s="198">
        <f>J32/$M$11</f>
        <v>799.24454545454546</v>
      </c>
      <c r="N32" s="199">
        <f>J32/$N$11</f>
        <v>21.313187878787879</v>
      </c>
    </row>
    <row r="33" spans="1:14">
      <c r="A33" s="283"/>
      <c r="B33" s="279">
        <v>16</v>
      </c>
      <c r="C33" s="282">
        <v>23363</v>
      </c>
      <c r="D33" s="280">
        <f>IF($I$2*C33&gt;$I$4,$I$4,IF($I$2*C33&lt;$I$3,$I$3,$I$2*C33))</f>
        <v>4672.6</v>
      </c>
      <c r="E33" s="197">
        <f>C33+D33</f>
        <v>28035.6</v>
      </c>
      <c r="F33" s="197">
        <f>ROUND(E33*$E$3,0)</f>
        <v>5775</v>
      </c>
      <c r="G33" s="197">
        <f>ROUND(IF(E33&gt;$L$6,$N$6*(E33-$L$6)+$N$5*($L$6-$L$5)+$N$4*($L$5-$L$2),IF($L$6&gt;E33&gt;$L$5,$N$5*(E33-$L$5)+$N$4*($L$5-$L$2),0)),0)</f>
        <v>2678</v>
      </c>
      <c r="H33" s="197">
        <f>E33/100*0.5</f>
        <v>140.178</v>
      </c>
      <c r="I33" s="197">
        <f>F33+G33+H33</f>
        <v>8593.178</v>
      </c>
      <c r="J33" s="197">
        <f>I33+E33</f>
        <v>36628.778</v>
      </c>
      <c r="K33" s="197">
        <f>J33/$K$11</f>
        <v>3052.3981666666664</v>
      </c>
      <c r="L33" s="198">
        <f>J33/$L$11</f>
        <v>166.49444545454546</v>
      </c>
      <c r="M33" s="198">
        <f>J33/$M$11</f>
        <v>832.4722272727272</v>
      </c>
      <c r="N33" s="199">
        <f>J33/$N$11</f>
        <v>22.199259393939393</v>
      </c>
    </row>
    <row r="34" spans="1:14">
      <c r="A34" s="281"/>
      <c r="B34" s="279">
        <v>17</v>
      </c>
      <c r="C34" s="282">
        <v>23363</v>
      </c>
      <c r="D34" s="280">
        <f>IF($I$2*C34&gt;$I$4,$I$4,IF($I$2*C34&lt;$I$3,$I$3,$I$2*C34))</f>
        <v>4672.6</v>
      </c>
      <c r="E34" s="197">
        <f>C34+D34</f>
        <v>28035.6</v>
      </c>
      <c r="F34" s="197">
        <f>ROUND(E34*$E$3,0)</f>
        <v>5775</v>
      </c>
      <c r="G34" s="197">
        <f>ROUND(IF(E34&gt;$L$6,$N$6*(E34-$L$6)+$N$5*($L$6-$L$5)+$N$4*($L$5-$L$2),IF($L$6&gt;E34&gt;$L$5,$N$5*(E34-$L$5)+$N$4*($L$5-$L$2),0)),0)</f>
        <v>2678</v>
      </c>
      <c r="H34" s="197">
        <f>E34/100*0.5</f>
        <v>140.178</v>
      </c>
      <c r="I34" s="197">
        <f>F34+G34+H34</f>
        <v>8593.178</v>
      </c>
      <c r="J34" s="197">
        <f>I34+E34</f>
        <v>36628.778</v>
      </c>
      <c r="K34" s="197">
        <f>J34/$K$11</f>
        <v>3052.3981666666664</v>
      </c>
      <c r="L34" s="198">
        <f>J34/$L$11</f>
        <v>166.49444545454546</v>
      </c>
      <c r="M34" s="198">
        <f>J34/$M$11</f>
        <v>832.4722272727272</v>
      </c>
      <c r="N34" s="199">
        <f>J34/$N$11</f>
        <v>22.199259393939393</v>
      </c>
    </row>
    <row r="35" spans="1:14">
      <c r="A35" s="278" t="s">
        <v>301</v>
      </c>
      <c r="B35" s="279">
        <v>16</v>
      </c>
      <c r="C35" s="282">
        <v>23023</v>
      </c>
      <c r="D35" s="280">
        <f>IF($I$2*C35&gt;$I$4,$I$4,IF($I$2*C35&lt;$I$3,$I$3,$I$2*C35))</f>
        <v>4604.6</v>
      </c>
      <c r="E35" s="197">
        <f>C35+D35</f>
        <v>27627.6</v>
      </c>
      <c r="F35" s="197">
        <f>ROUND(E35*$E$3,0)</f>
        <v>5691</v>
      </c>
      <c r="G35" s="197">
        <f>ROUND(IF(E35&gt;$L$6,$N$6*(E35-$L$6)+$N$5*($L$6-$L$5)+$N$4*($L$5-$L$2),IF($L$6&gt;E35&gt;$L$5,$N$5*(E35-$L$5)+$N$4*($L$5-$L$2),0)),0)</f>
        <v>2621</v>
      </c>
      <c r="H35" s="197">
        <f>E35/100*0.5</f>
        <v>138.138</v>
      </c>
      <c r="I35" s="197">
        <f>F35+G35+H35</f>
        <v>8450.138</v>
      </c>
      <c r="J35" s="197">
        <f>I35+E35</f>
        <v>36077.738</v>
      </c>
      <c r="K35" s="197">
        <f>J35/$K$11</f>
        <v>3006.4781666666663</v>
      </c>
      <c r="L35" s="198">
        <f>J35/$L$11</f>
        <v>163.98971818181818</v>
      </c>
      <c r="M35" s="198">
        <f>J35/$M$11</f>
        <v>819.94859090909085</v>
      </c>
      <c r="N35" s="199">
        <f>J35/$N$11</f>
        <v>21.865295757575755</v>
      </c>
    </row>
    <row r="36" spans="1:14">
      <c r="A36" s="283"/>
      <c r="B36" s="279">
        <v>17</v>
      </c>
      <c r="C36" s="282">
        <v>23951</v>
      </c>
      <c r="D36" s="280">
        <f>IF($I$2*C36&gt;$I$4,$I$4,IF($I$2*C36&lt;$I$3,$I$3,$I$2*C36))</f>
        <v>4790.2</v>
      </c>
      <c r="E36" s="197">
        <f>C36+D36</f>
        <v>28741.2</v>
      </c>
      <c r="F36" s="197">
        <f>ROUND(E36*$E$3,0)</f>
        <v>5921</v>
      </c>
      <c r="G36" s="197">
        <f>ROUND(IF(E36&gt;$L$6,$N$6*(E36-$L$6)+$N$5*($L$6-$L$5)+$N$4*($L$5-$L$2),IF($L$6&gt;E36&gt;$L$5,$N$5*(E36-$L$5)+$N$4*($L$5-$L$2),0)),0)</f>
        <v>2775</v>
      </c>
      <c r="H36" s="197">
        <f>E36/100*0.5</f>
        <v>143.70600000000002</v>
      </c>
      <c r="I36" s="197">
        <f>F36+G36+H36</f>
        <v>8839.706</v>
      </c>
      <c r="J36" s="197">
        <f>I36+E36</f>
        <v>37580.906</v>
      </c>
      <c r="K36" s="197">
        <f>J36/$K$11</f>
        <v>3131.7421666666669</v>
      </c>
      <c r="L36" s="198">
        <f>J36/$L$11</f>
        <v>170.8223</v>
      </c>
      <c r="M36" s="198">
        <f>J36/$M$11</f>
        <v>854.11150000000009</v>
      </c>
      <c r="N36" s="199">
        <f>J36/$N$11</f>
        <v>22.776306666666667</v>
      </c>
    </row>
    <row r="37" spans="1:14">
      <c r="A37" s="283"/>
      <c r="B37" s="279">
        <v>18</v>
      </c>
      <c r="C37" s="282">
        <v>24915</v>
      </c>
      <c r="D37" s="280">
        <f>IF($I$2*C37&gt;$I$4,$I$4,IF($I$2*C37&lt;$I$3,$I$3,$I$2*C37))</f>
        <v>4983</v>
      </c>
      <c r="E37" s="197">
        <f>C37+D37</f>
        <v>29898</v>
      </c>
      <c r="F37" s="197">
        <f>ROUND(E37*$E$3,0)</f>
        <v>6159</v>
      </c>
      <c r="G37" s="197">
        <f>ROUND(IF(E37&gt;$L$6,$N$6*(E37-$L$6)+$N$5*($L$6-$L$5)+$N$4*($L$5-$L$2),IF($L$6&gt;E37&gt;$L$5,$N$5*(E37-$L$5)+$N$4*($L$5-$L$2),0)),0)</f>
        <v>2935</v>
      </c>
      <c r="H37" s="197">
        <f>E37/100*0.5</f>
        <v>149.49</v>
      </c>
      <c r="I37" s="197">
        <f>F37+G37+H37</f>
        <v>9243.49</v>
      </c>
      <c r="J37" s="197">
        <f>I37+E37</f>
        <v>39141.49</v>
      </c>
      <c r="K37" s="197">
        <f>J37/$K$11</f>
        <v>3261.790833333333</v>
      </c>
      <c r="L37" s="198">
        <f>J37/$L$11</f>
        <v>177.91586363636364</v>
      </c>
      <c r="M37" s="198">
        <f>J37/$M$11</f>
        <v>889.57931818181817</v>
      </c>
      <c r="N37" s="199">
        <f>J37/$N$11</f>
        <v>23.722115151515151</v>
      </c>
    </row>
    <row r="38" spans="1:14">
      <c r="A38" s="283"/>
      <c r="B38" s="279">
        <v>19</v>
      </c>
      <c r="C38" s="282">
        <v>25934</v>
      </c>
      <c r="D38" s="280">
        <f>IF($I$2*C38&gt;$I$4,$I$4,IF($I$2*C38&lt;$I$3,$I$3,$I$2*C38))</f>
        <v>5186.8</v>
      </c>
      <c r="E38" s="197">
        <f>C38+D38</f>
        <v>31120.8</v>
      </c>
      <c r="F38" s="197">
        <f>ROUND(E38*$E$3,0)</f>
        <v>6411</v>
      </c>
      <c r="G38" s="197">
        <f>ROUND(IF(E38&gt;$L$6,$N$6*(E38-$L$6)+$N$5*($L$6-$L$5)+$N$4*($L$5-$L$2),IF($L$6&gt;E38&gt;$L$5,$N$5*(E38-$L$5)+$N$4*($L$5-$L$2),0)),0)</f>
        <v>3103</v>
      </c>
      <c r="H38" s="197">
        <f>E38/100*0.5</f>
        <v>155.60399999999998</v>
      </c>
      <c r="I38" s="197">
        <f>F38+G38+H38</f>
        <v>9669.604</v>
      </c>
      <c r="J38" s="197">
        <f>I38+E38</f>
        <v>40790.403999999995</v>
      </c>
      <c r="K38" s="197">
        <f>J38/$K$11</f>
        <v>3399.2003333333328</v>
      </c>
      <c r="L38" s="198">
        <f>J38/$L$11</f>
        <v>185.41092727272726</v>
      </c>
      <c r="M38" s="198">
        <f>J38/$M$11</f>
        <v>927.05463636363629</v>
      </c>
      <c r="N38" s="199">
        <f>J38/$N$11</f>
        <v>24.721456969696966</v>
      </c>
    </row>
    <row r="39" spans="1:14">
      <c r="A39" s="283"/>
      <c r="B39" s="279">
        <v>20</v>
      </c>
      <c r="C39" s="282">
        <v>26963</v>
      </c>
      <c r="D39" s="280">
        <f>IF($I$2*C39&gt;$I$4,$I$4,IF($I$2*C39&lt;$I$3,$I$3,$I$2*C39))</f>
        <v>5392.6</v>
      </c>
      <c r="E39" s="197">
        <f>C39+D39</f>
        <v>32355.6</v>
      </c>
      <c r="F39" s="197">
        <f>ROUND(E39*$E$3,0)</f>
        <v>6665</v>
      </c>
      <c r="G39" s="197">
        <f>ROUND(IF(E39&gt;$L$6,$N$6*(E39-$L$6)+$N$5*($L$6-$L$5)+$N$4*($L$5-$L$2),IF($L$6&gt;E39&gt;$L$5,$N$5*(E39-$L$5)+$N$4*($L$5-$L$2),0)),0)</f>
        <v>3274</v>
      </c>
      <c r="H39" s="197">
        <f>E39/100*0.5</f>
        <v>161.778</v>
      </c>
      <c r="I39" s="197">
        <f>F39+G39+H39</f>
        <v>10100.778</v>
      </c>
      <c r="J39" s="197">
        <f>I39+E39</f>
        <v>42456.378</v>
      </c>
      <c r="K39" s="197">
        <f>J39/$K$11</f>
        <v>3538.0314999999996</v>
      </c>
      <c r="L39" s="198">
        <f>J39/$L$11</f>
        <v>192.98353636363635</v>
      </c>
      <c r="M39" s="198">
        <f>J39/$M$11</f>
        <v>964.91768181818179</v>
      </c>
      <c r="N39" s="199">
        <f>J39/$N$11</f>
        <v>25.731138181818181</v>
      </c>
    </row>
    <row r="40" spans="1:14">
      <c r="A40" s="283"/>
      <c r="B40" s="279">
        <v>21</v>
      </c>
      <c r="C40" s="282">
        <v>28050</v>
      </c>
      <c r="D40" s="280">
        <f>IF($I$2*C40&gt;$I$4,$I$4,IF($I$2*C40&lt;$I$3,$I$3,$I$2*C40))</f>
        <v>5610</v>
      </c>
      <c r="E40" s="197">
        <f>C40+D40</f>
        <v>33660</v>
      </c>
      <c r="F40" s="197">
        <f>ROUND(E40*$E$3,0)</f>
        <v>6934</v>
      </c>
      <c r="G40" s="197">
        <f>ROUND(IF(E40&gt;$L$6,$N$6*(E40-$L$6)+$N$5*($L$6-$L$5)+$N$4*($L$5-$L$2),IF($L$6&gt;E40&gt;$L$5,$N$5*(E40-$L$5)+$N$4*($L$5-$L$2),0)),0)</f>
        <v>3454</v>
      </c>
      <c r="H40" s="197">
        <f>E40/100*0.5</f>
        <v>168.3</v>
      </c>
      <c r="I40" s="197">
        <f>F40+G40+H40</f>
        <v>10556.3</v>
      </c>
      <c r="J40" s="197">
        <f>I40+E40</f>
        <v>44216.3</v>
      </c>
      <c r="K40" s="197">
        <f>J40/$K$11</f>
        <v>3684.6916666666671</v>
      </c>
      <c r="L40" s="198">
        <f>J40/$L$11</f>
        <v>200.98318181818183</v>
      </c>
      <c r="M40" s="198">
        <f>J40/$M$11</f>
        <v>1004.9159090909092</v>
      </c>
      <c r="N40" s="199">
        <f>J40/$N$11</f>
        <v>26.797757575757579</v>
      </c>
    </row>
    <row r="41" spans="1:14">
      <c r="A41" s="283"/>
      <c r="B41" s="279">
        <v>22</v>
      </c>
      <c r="C41" s="282">
        <v>29608</v>
      </c>
      <c r="D41" s="280">
        <f>IF($I$2*C41&gt;$I$4,$I$4,IF($I$2*C41&lt;$I$3,$I$3,$I$2*C41))</f>
        <v>5921.6</v>
      </c>
      <c r="E41" s="197">
        <f>C41+D41</f>
        <v>35529.6</v>
      </c>
      <c r="F41" s="197">
        <f>ROUND(E41*$E$3,0)</f>
        <v>7319</v>
      </c>
      <c r="G41" s="197">
        <f>ROUND(IF(E41&gt;$L$6,$N$6*(E41-$L$6)+$N$5*($L$6-$L$5)+$N$4*($L$5-$L$2),IF($L$6&gt;E41&gt;$L$5,$N$5*(E41-$L$5)+$N$4*($L$5-$L$2),0)),0)</f>
        <v>3712</v>
      </c>
      <c r="H41" s="197">
        <f>E41/100*0.5</f>
        <v>177.648</v>
      </c>
      <c r="I41" s="197">
        <f>F41+G41+H41</f>
        <v>11208.648</v>
      </c>
      <c r="J41" s="197">
        <f>I41+E41</f>
        <v>46738.248</v>
      </c>
      <c r="K41" s="197">
        <f>J41/$K$11</f>
        <v>3894.854</v>
      </c>
      <c r="L41" s="198">
        <f>J41/$L$11</f>
        <v>212.44658181818181</v>
      </c>
      <c r="M41" s="198">
        <f>J41/$M$11</f>
        <v>1062.2329090909091</v>
      </c>
      <c r="N41" s="199">
        <f>J41/$N$11</f>
        <v>28.326210909090907</v>
      </c>
    </row>
    <row r="42" spans="1:14">
      <c r="A42" s="281"/>
      <c r="B42" s="279">
        <v>23</v>
      </c>
      <c r="C42" s="282">
        <v>29608</v>
      </c>
      <c r="D42" s="280">
        <f>IF($I$2*C42&gt;$I$4,$I$4,IF($I$2*C42&lt;$I$3,$I$3,$I$2*C42))</f>
        <v>5921.6</v>
      </c>
      <c r="E42" s="197">
        <f>C42+D42</f>
        <v>35529.6</v>
      </c>
      <c r="F42" s="197">
        <f>ROUND(E42*$E$3,0)</f>
        <v>7319</v>
      </c>
      <c r="G42" s="197">
        <f>ROUND(IF(E42&gt;$L$6,$N$6*(E42-$L$6)+$N$5*($L$6-$L$5)+$N$4*($L$5-$L$2),IF($L$6&gt;E42&gt;$L$5,$N$5*(E42-$L$5)+$N$4*($L$5-$L$2),0)),0)</f>
        <v>3712</v>
      </c>
      <c r="H42" s="197">
        <f>E42/100*0.5</f>
        <v>177.648</v>
      </c>
      <c r="I42" s="197">
        <f>F42+G42+H42</f>
        <v>11208.648</v>
      </c>
      <c r="J42" s="197">
        <f>I42+E42</f>
        <v>46738.248</v>
      </c>
      <c r="K42" s="197">
        <f>J42/$K$11</f>
        <v>3894.854</v>
      </c>
      <c r="L42" s="198">
        <f>J42/$L$11</f>
        <v>212.44658181818181</v>
      </c>
      <c r="M42" s="198">
        <f>J42/$M$11</f>
        <v>1062.2329090909091</v>
      </c>
      <c r="N42" s="199">
        <f>J42/$N$11</f>
        <v>28.326210909090907</v>
      </c>
    </row>
    <row r="43" spans="1:14">
      <c r="A43" s="278" t="s">
        <v>302</v>
      </c>
      <c r="B43" s="279">
        <v>21</v>
      </c>
      <c r="C43" s="282">
        <v>28050</v>
      </c>
      <c r="D43" s="280">
        <f>IF($I$2*C43&gt;$I$4,$I$4,IF($I$2*C43&lt;$I$3,$I$3,$I$2*C43))</f>
        <v>5610</v>
      </c>
      <c r="E43" s="197">
        <f>C43+D43</f>
        <v>33660</v>
      </c>
      <c r="F43" s="197">
        <f>ROUND(E43*$E$3,0)</f>
        <v>6934</v>
      </c>
      <c r="G43" s="197">
        <f>ROUND(IF(E43&gt;$L$6,$N$6*(E43-$L$6)+$N$5*($L$6-$L$5)+$N$4*($L$5-$L$2),IF($L$6&gt;E43&gt;$L$5,$N$5*(E43-$L$5)+$N$4*($L$5-$L$2),0)),0)</f>
        <v>3454</v>
      </c>
      <c r="H43" s="197">
        <f>E43/100*0.5</f>
        <v>168.3</v>
      </c>
      <c r="I43" s="197">
        <f>F43+G43+H43</f>
        <v>10556.3</v>
      </c>
      <c r="J43" s="197">
        <f>I43+E43</f>
        <v>44216.3</v>
      </c>
      <c r="K43" s="197">
        <f>J43/$K$11</f>
        <v>3684.6916666666671</v>
      </c>
      <c r="L43" s="198">
        <f>J43/$L$11</f>
        <v>200.98318181818183</v>
      </c>
      <c r="M43" s="198">
        <f>J43/$M$11</f>
        <v>1004.9159090909092</v>
      </c>
      <c r="N43" s="199">
        <f>J43/$N$11</f>
        <v>26.797757575757579</v>
      </c>
    </row>
    <row r="44" spans="1:14">
      <c r="A44" s="283"/>
      <c r="B44" s="279">
        <v>22</v>
      </c>
      <c r="C44" s="282">
        <v>29177</v>
      </c>
      <c r="D44" s="280">
        <f>IF($I$2*C44&gt;$I$4,$I$4,IF($I$2*C44&lt;$I$3,$I$3,$I$2*C44))</f>
        <v>5835.4000000000005</v>
      </c>
      <c r="E44" s="197">
        <f>C44+D44</f>
        <v>35012.4</v>
      </c>
      <c r="F44" s="197">
        <f>ROUND(E44*$E$3,0)</f>
        <v>7213</v>
      </c>
      <c r="G44" s="197">
        <f>ROUND(IF(E44&gt;$L$6,$N$6*(E44-$L$6)+$N$5*($L$6-$L$5)+$N$4*($L$5-$L$2),IF($L$6&gt;E44&gt;$L$5,$N$5*(E44-$L$5)+$N$4*($L$5-$L$2),0)),0)</f>
        <v>3640</v>
      </c>
      <c r="H44" s="197">
        <f>E44/100*0.5</f>
        <v>175.062</v>
      </c>
      <c r="I44" s="197">
        <f>F44+G44+H44</f>
        <v>11028.062</v>
      </c>
      <c r="J44" s="197">
        <f>I44+E44</f>
        <v>46040.462</v>
      </c>
      <c r="K44" s="197">
        <f>J44/$K$11</f>
        <v>3836.7051666666666</v>
      </c>
      <c r="L44" s="198">
        <f>J44/$L$11</f>
        <v>209.27482727272726</v>
      </c>
      <c r="M44" s="198">
        <f>J44/$M$11</f>
        <v>1046.3741363636364</v>
      </c>
      <c r="N44" s="199">
        <f>J44/$N$11</f>
        <v>27.903310303030302</v>
      </c>
    </row>
    <row r="45" spans="1:14">
      <c r="A45" s="283"/>
      <c r="B45" s="279">
        <v>23</v>
      </c>
      <c r="C45" s="282">
        <v>30070</v>
      </c>
      <c r="D45" s="280">
        <f>IF($I$2*C45&gt;$I$4,$I$4,IF($I$2*C45&lt;$I$3,$I$3,$I$2*C45))</f>
        <v>6014</v>
      </c>
      <c r="E45" s="197">
        <f>C45+D45</f>
        <v>36084</v>
      </c>
      <c r="F45" s="197">
        <f>ROUND(E45*$E$3,0)</f>
        <v>7433</v>
      </c>
      <c r="G45" s="197">
        <f>ROUND(IF(E45&gt;$L$6,$N$6*(E45-$L$6)+$N$5*($L$6-$L$5)+$N$4*($L$5-$L$2),IF($L$6&gt;E45&gt;$L$5,$N$5*(E45-$L$5)+$N$4*($L$5-$L$2),0)),0)</f>
        <v>3788</v>
      </c>
      <c r="H45" s="197">
        <f>E45/100*0.5</f>
        <v>180.42</v>
      </c>
      <c r="I45" s="197">
        <f>F45+G45+H45</f>
        <v>11401.42</v>
      </c>
      <c r="J45" s="197">
        <f>I45+E45</f>
        <v>47485.42</v>
      </c>
      <c r="K45" s="197">
        <f>J45/$K$11</f>
        <v>3957.1183333333333</v>
      </c>
      <c r="L45" s="198">
        <f>J45/$L$11</f>
        <v>215.84281818181816</v>
      </c>
      <c r="M45" s="198">
        <f>J45/$M$11</f>
        <v>1079.2140909090908</v>
      </c>
      <c r="N45" s="199">
        <f>J45/$N$11</f>
        <v>28.779042424242423</v>
      </c>
    </row>
    <row r="46" spans="1:14">
      <c r="A46" s="283"/>
      <c r="B46" s="279">
        <v>24</v>
      </c>
      <c r="C46" s="282">
        <v>31121</v>
      </c>
      <c r="D46" s="280">
        <f>IF($I$2*C46&gt;$I$4,$I$4,IF($I$2*C46&lt;$I$3,$I$3,$I$2*C46))</f>
        <v>6224.2000000000007</v>
      </c>
      <c r="E46" s="197">
        <f>C46+D46</f>
        <v>37345.2</v>
      </c>
      <c r="F46" s="197">
        <f>ROUND(E46*$E$3,0)</f>
        <v>7693</v>
      </c>
      <c r="G46" s="197">
        <f>ROUND(IF(E46&gt;$L$6,$N$6*(E46-$L$6)+$N$5*($L$6-$L$5)+$N$4*($L$5-$L$2),IF($L$6&gt;E46&gt;$L$5,$N$5*(E46-$L$5)+$N$4*($L$5-$L$2),0)),0)</f>
        <v>3962</v>
      </c>
      <c r="H46" s="197">
        <f>E46/100*0.5</f>
        <v>186.726</v>
      </c>
      <c r="I46" s="197">
        <f>F46+G46+H46</f>
        <v>11841.726</v>
      </c>
      <c r="J46" s="197">
        <f>I46+E46</f>
        <v>49186.926</v>
      </c>
      <c r="K46" s="197">
        <f>J46/$K$11</f>
        <v>4098.9105</v>
      </c>
      <c r="L46" s="198">
        <f>J46/$L$11</f>
        <v>223.57693636363635</v>
      </c>
      <c r="M46" s="198">
        <f>J46/$M$11</f>
        <v>1117.8846818181819</v>
      </c>
      <c r="N46" s="199">
        <f>J46/$N$11</f>
        <v>29.810258181818181</v>
      </c>
    </row>
    <row r="47" spans="1:14">
      <c r="A47" s="283"/>
      <c r="B47" s="279">
        <v>25</v>
      </c>
      <c r="C47" s="282">
        <v>32171</v>
      </c>
      <c r="D47" s="280">
        <f>IF($I$2*C47&gt;$I$4,$I$4,IF($I$2*C47&lt;$I$3,$I$3,$I$2*C47))</f>
        <v>6434.2000000000007</v>
      </c>
      <c r="E47" s="197">
        <f>C47+D47</f>
        <v>38605.2</v>
      </c>
      <c r="F47" s="197">
        <f>ROUND(E47*$E$3,0)</f>
        <v>7953</v>
      </c>
      <c r="G47" s="197">
        <f>ROUND(IF(E47&gt;$L$6,$N$6*(E47-$L$6)+$N$5*($L$6-$L$5)+$N$4*($L$5-$L$2),IF($L$6&gt;E47&gt;$L$5,$N$5*(E47-$L$5)+$N$4*($L$5-$L$2),0)),0)</f>
        <v>4136</v>
      </c>
      <c r="H47" s="197">
        <f>E47/100*0.5</f>
        <v>193.02599999999998</v>
      </c>
      <c r="I47" s="197">
        <f>F47+G47+H47</f>
        <v>12282.026</v>
      </c>
      <c r="J47" s="197">
        <f>I47+E47</f>
        <v>50887.225999999995</v>
      </c>
      <c r="K47" s="197">
        <f>J47/$K$11</f>
        <v>4240.6021666666666</v>
      </c>
      <c r="L47" s="198">
        <f>J47/$L$11</f>
        <v>231.3055727272727</v>
      </c>
      <c r="M47" s="198">
        <f>J47/$M$11</f>
        <v>1156.5278636363635</v>
      </c>
      <c r="N47" s="199">
        <f>J47/$N$11</f>
        <v>30.840743030303027</v>
      </c>
    </row>
    <row r="48" spans="1:14">
      <c r="A48" s="283"/>
      <c r="B48" s="279">
        <v>26</v>
      </c>
      <c r="C48" s="282">
        <v>33222</v>
      </c>
      <c r="D48" s="280">
        <f>IF($I$2*C48&gt;$I$4,$I$4,IF($I$2*C48&lt;$I$3,$I$3,$I$2*C48))</f>
        <v>6644.4000000000005</v>
      </c>
      <c r="E48" s="197">
        <f>C48+D48</f>
        <v>39866.4</v>
      </c>
      <c r="F48" s="197">
        <f>ROUND(E48*$E$3,0)</f>
        <v>8212</v>
      </c>
      <c r="G48" s="197">
        <f>ROUND(IF(E48&gt;$L$6,$N$6*(E48-$L$6)+$N$5*($L$6-$L$5)+$N$4*($L$5-$L$2),IF($L$6&gt;E48&gt;$L$5,$N$5*(E48-$L$5)+$N$4*($L$5-$L$2),0)),0)</f>
        <v>4310</v>
      </c>
      <c r="H48" s="197">
        <f>E48/100*0.5</f>
        <v>199.332</v>
      </c>
      <c r="I48" s="197">
        <f>F48+G48+H48</f>
        <v>12721.332</v>
      </c>
      <c r="J48" s="197">
        <f>I48+E48</f>
        <v>52587.732</v>
      </c>
      <c r="K48" s="197">
        <f>J48/$K$11</f>
        <v>4382.3110000000006</v>
      </c>
      <c r="L48" s="198">
        <f>J48/$L$11</f>
        <v>239.03514545454547</v>
      </c>
      <c r="M48" s="198">
        <f>J48/$M$11</f>
        <v>1195.1757272727273</v>
      </c>
      <c r="N48" s="199">
        <f>J48/$N$11</f>
        <v>31.871352727272729</v>
      </c>
    </row>
    <row r="49" spans="1:14">
      <c r="A49" s="283"/>
      <c r="B49" s="279">
        <v>27</v>
      </c>
      <c r="C49" s="282">
        <v>34403</v>
      </c>
      <c r="D49" s="280">
        <f>IF($I$2*C49&gt;$I$4,$I$4,IF($I$2*C49&lt;$I$3,$I$3,$I$2*C49))</f>
        <v>6663</v>
      </c>
      <c r="E49" s="197">
        <f>C49+D49</f>
        <v>41066</v>
      </c>
      <c r="F49" s="197">
        <f>ROUND(E49*$E$3,0)</f>
        <v>8460</v>
      </c>
      <c r="G49" s="197">
        <f>ROUND(IF(E49&gt;$L$6,$N$6*(E49-$L$6)+$N$5*($L$6-$L$5)+$N$4*($L$5-$L$2),IF($L$6&gt;E49&gt;$L$5,$N$5*(E49-$L$5)+$N$4*($L$5-$L$2),0)),0)</f>
        <v>4476</v>
      </c>
      <c r="H49" s="197">
        <f>E49/100*0.5</f>
        <v>205.33</v>
      </c>
      <c r="I49" s="197">
        <f>F49+G49+H49</f>
        <v>13141.33</v>
      </c>
      <c r="J49" s="197">
        <f>I49+E49</f>
        <v>54207.33</v>
      </c>
      <c r="K49" s="197">
        <f>J49/$K$11</f>
        <v>4517.2775</v>
      </c>
      <c r="L49" s="198">
        <f>J49/$L$11</f>
        <v>246.39695454545455</v>
      </c>
      <c r="M49" s="198">
        <f>J49/$M$11</f>
        <v>1231.9847727272727</v>
      </c>
      <c r="N49" s="199">
        <f>J49/$N$11</f>
        <v>32.852927272727271</v>
      </c>
    </row>
    <row r="50" spans="1:14">
      <c r="A50" s="283"/>
      <c r="B50" s="279">
        <v>28</v>
      </c>
      <c r="C50" s="282">
        <v>36644</v>
      </c>
      <c r="D50" s="280">
        <f>IF($I$2*C50&gt;$I$4,$I$4,IF($I$2*C50&lt;$I$3,$I$3,$I$2*C50))</f>
        <v>6663</v>
      </c>
      <c r="E50" s="197">
        <f>C50+D50</f>
        <v>43307</v>
      </c>
      <c r="F50" s="197">
        <f>ROUND(E50*$E$3,0)</f>
        <v>8921</v>
      </c>
      <c r="G50" s="197">
        <f>ROUND(IF(E50&gt;$L$6,$N$6*(E50-$L$6)+$N$5*($L$6-$L$5)+$N$4*($L$5-$L$2),IF($L$6&gt;E50&gt;$L$5,$N$5*(E50-$L$5)+$N$4*($L$5-$L$2),0)),0)</f>
        <v>4785</v>
      </c>
      <c r="H50" s="197">
        <f>E50/100*0.5</f>
        <v>216.535</v>
      </c>
      <c r="I50" s="197">
        <f>F50+G50+H50</f>
        <v>13922.535</v>
      </c>
      <c r="J50" s="197">
        <f>I50+E50</f>
        <v>57229.535</v>
      </c>
      <c r="K50" s="197">
        <f>J50/$K$11</f>
        <v>4769.1279166666673</v>
      </c>
      <c r="L50" s="198">
        <f>J50/$L$11</f>
        <v>260.13425</v>
      </c>
      <c r="M50" s="198">
        <f>J50/$M$11</f>
        <v>1300.67125</v>
      </c>
      <c r="N50" s="199">
        <f>J50/$N$11</f>
        <v>34.684566666666669</v>
      </c>
    </row>
    <row r="51" spans="1:14">
      <c r="A51" s="281"/>
      <c r="B51" s="279">
        <v>29</v>
      </c>
      <c r="C51" s="282">
        <v>36644</v>
      </c>
      <c r="D51" s="280">
        <f>IF($I$2*C51&gt;$I$4,$I$4,IF($I$2*C51&lt;$I$3,$I$3,$I$2*C51))</f>
        <v>6663</v>
      </c>
      <c r="E51" s="197">
        <f>C51+D51</f>
        <v>43307</v>
      </c>
      <c r="F51" s="197">
        <f>ROUND(E51*$E$3,0)</f>
        <v>8921</v>
      </c>
      <c r="G51" s="197">
        <f>ROUND(IF(E51&gt;$L$6,$N$6*(E51-$L$6)+$N$5*($L$6-$L$5)+$N$4*($L$5-$L$2),IF($L$6&gt;E51&gt;$L$5,$N$5*(E51-$L$5)+$N$4*($L$5-$L$2),0)),0)</f>
        <v>4785</v>
      </c>
      <c r="H51" s="197">
        <f>E51/100*0.5</f>
        <v>216.535</v>
      </c>
      <c r="I51" s="197">
        <f>F51+G51+H51</f>
        <v>13922.535</v>
      </c>
      <c r="J51" s="197">
        <f>I51+E51</f>
        <v>57229.535</v>
      </c>
      <c r="K51" s="197">
        <f>J51/$K$11</f>
        <v>4769.1279166666673</v>
      </c>
      <c r="L51" s="198">
        <f>J51/$L$11</f>
        <v>260.13425</v>
      </c>
      <c r="M51" s="198">
        <f>J51/$M$11</f>
        <v>1300.67125</v>
      </c>
      <c r="N51" s="199">
        <f>J51/$N$11</f>
        <v>34.684566666666669</v>
      </c>
    </row>
    <row r="52" spans="1:14">
      <c r="A52" s="278" t="s">
        <v>303</v>
      </c>
      <c r="B52" s="279">
        <v>26</v>
      </c>
      <c r="C52" s="282">
        <v>33222</v>
      </c>
      <c r="D52" s="280">
        <f>IF($I$2*C52&gt;$I$4,$I$4,IF($I$2*C52&lt;$I$3,$I$3,$I$2*C52))</f>
        <v>6644.4000000000005</v>
      </c>
      <c r="E52" s="197">
        <f>C52+D52</f>
        <v>39866.4</v>
      </c>
      <c r="F52" s="197">
        <f>ROUND(E52*$E$3,0)</f>
        <v>8212</v>
      </c>
      <c r="G52" s="197">
        <f>ROUND(IF(E52&gt;$L$6,$N$6*(E52-$L$6)+$N$5*($L$6-$L$5)+$N$4*($L$5-$L$2),IF($L$6&gt;E52&gt;$L$5,$N$5*(E52-$L$5)+$N$4*($L$5-$L$2),0)),0)</f>
        <v>4310</v>
      </c>
      <c r="H52" s="197">
        <f>E52/100*0.5</f>
        <v>199.332</v>
      </c>
      <c r="I52" s="197">
        <f>F52+G52+H52</f>
        <v>12721.332</v>
      </c>
      <c r="J52" s="197">
        <f>I52+E52</f>
        <v>52587.732</v>
      </c>
      <c r="K52" s="197">
        <f>J52/$K$11</f>
        <v>4382.3110000000006</v>
      </c>
      <c r="L52" s="198">
        <f>J52/$L$11</f>
        <v>239.03514545454547</v>
      </c>
      <c r="M52" s="198">
        <f>J52/$M$11</f>
        <v>1195.1757272727273</v>
      </c>
      <c r="N52" s="199">
        <f>J52/$N$11</f>
        <v>31.871352727272729</v>
      </c>
    </row>
    <row r="53" spans="1:14">
      <c r="A53" s="283"/>
      <c r="B53" s="279">
        <v>27</v>
      </c>
      <c r="C53" s="282">
        <v>34403</v>
      </c>
      <c r="D53" s="280">
        <f>IF($I$2*C53&gt;$I$4,$I$4,IF($I$2*C53&lt;$I$3,$I$3,$I$2*C53))</f>
        <v>6663</v>
      </c>
      <c r="E53" s="197">
        <f>C53+D53</f>
        <v>41066</v>
      </c>
      <c r="F53" s="197">
        <f>ROUND(E53*$E$3,0)</f>
        <v>8460</v>
      </c>
      <c r="G53" s="197">
        <f>ROUND(IF(E53&gt;$L$6,$N$6*(E53-$L$6)+$N$5*($L$6-$L$5)+$N$4*($L$5-$L$2),IF($L$6&gt;E53&gt;$L$5,$N$5*(E53-$L$5)+$N$4*($L$5-$L$2),0)),0)</f>
        <v>4476</v>
      </c>
      <c r="H53" s="197">
        <f>E53/100*0.5</f>
        <v>205.33</v>
      </c>
      <c r="I53" s="197">
        <f>F53+G53+H53</f>
        <v>13141.33</v>
      </c>
      <c r="J53" s="197">
        <f>I53+E53</f>
        <v>54207.33</v>
      </c>
      <c r="K53" s="197">
        <f>J53/$K$11</f>
        <v>4517.2775</v>
      </c>
      <c r="L53" s="198">
        <f>J53/$L$11</f>
        <v>246.39695454545455</v>
      </c>
      <c r="M53" s="198">
        <f>J53/$M$11</f>
        <v>1231.9847727272727</v>
      </c>
      <c r="N53" s="199">
        <f>J53/$N$11</f>
        <v>32.852927272727271</v>
      </c>
    </row>
    <row r="54" spans="1:14">
      <c r="A54" s="283"/>
      <c r="B54" s="279">
        <v>28</v>
      </c>
      <c r="C54" s="282">
        <v>36111</v>
      </c>
      <c r="D54" s="280">
        <f>IF($I$2*C54&gt;$I$4,$I$4,IF($I$2*C54&lt;$I$3,$I$3,$I$2*C54))</f>
        <v>6663</v>
      </c>
      <c r="E54" s="197">
        <f>C54+D54</f>
        <v>42774</v>
      </c>
      <c r="F54" s="197">
        <f>ROUND(E54*$E$3,0)</f>
        <v>8811</v>
      </c>
      <c r="G54" s="197">
        <f>ROUND(IF(E54&gt;$L$6,$N$6*(E54-$L$6)+$N$5*($L$6-$L$5)+$N$4*($L$5-$L$2),IF($L$6&gt;E54&gt;$L$5,$N$5*(E54-$L$5)+$N$4*($L$5-$L$2),0)),0)</f>
        <v>4712</v>
      </c>
      <c r="H54" s="197">
        <f>E54/100*0.5</f>
        <v>213.87</v>
      </c>
      <c r="I54" s="197">
        <f>F54+G54+H54</f>
        <v>13736.87</v>
      </c>
      <c r="J54" s="197">
        <f>I54+E54</f>
        <v>56510.87</v>
      </c>
      <c r="K54" s="197">
        <f>J54/$K$11</f>
        <v>4709.2391666666672</v>
      </c>
      <c r="L54" s="198">
        <f>J54/$L$11</f>
        <v>256.86759090909089</v>
      </c>
      <c r="M54" s="198">
        <f>J54/$M$11</f>
        <v>1284.3379545454545</v>
      </c>
      <c r="N54" s="199">
        <f>J54/$N$11</f>
        <v>34.249012121212125</v>
      </c>
    </row>
    <row r="55" spans="1:14">
      <c r="A55" s="283"/>
      <c r="B55" s="279">
        <v>29</v>
      </c>
      <c r="C55" s="282">
        <v>37161</v>
      </c>
      <c r="D55" s="280">
        <f>IF($I$2*C55&gt;$I$4,$I$4,IF($I$2*C55&lt;$I$3,$I$3,$I$2*C55))</f>
        <v>6663</v>
      </c>
      <c r="E55" s="197">
        <f>C55+D55</f>
        <v>43824</v>
      </c>
      <c r="F55" s="197">
        <f>ROUND(E55*$E$3,0)</f>
        <v>9028</v>
      </c>
      <c r="G55" s="197">
        <f>ROUND(IF(E55&gt;$L$6,$N$6*(E55-$L$6)+$N$5*($L$6-$L$5)+$N$4*($L$5-$L$2),IF($L$6&gt;E55&gt;$L$5,$N$5*(E55-$L$5)+$N$4*($L$5-$L$2),0)),0)</f>
        <v>4856</v>
      </c>
      <c r="H55" s="197">
        <f>E55/100*0.5</f>
        <v>219.12</v>
      </c>
      <c r="I55" s="197">
        <f>F55+G55+H55</f>
        <v>14103.12</v>
      </c>
      <c r="J55" s="197">
        <f>I55+E55</f>
        <v>57927.12</v>
      </c>
      <c r="K55" s="197">
        <f>J55/$K$11</f>
        <v>4827.26</v>
      </c>
      <c r="L55" s="198">
        <f>J55/$L$11</f>
        <v>263.30509090909089</v>
      </c>
      <c r="M55" s="198">
        <f>J55/$M$11</f>
        <v>1316.5254545454545</v>
      </c>
      <c r="N55" s="199">
        <f>J55/$N$11</f>
        <v>35.10734545454546</v>
      </c>
    </row>
    <row r="56" spans="1:14">
      <c r="A56" s="283"/>
      <c r="B56" s="279">
        <v>30</v>
      </c>
      <c r="C56" s="282">
        <v>38344</v>
      </c>
      <c r="D56" s="280">
        <f>IF($I$2*C56&gt;$I$4,$I$4,IF($I$2*C56&lt;$I$3,$I$3,$I$2*C56))</f>
        <v>6663</v>
      </c>
      <c r="E56" s="197">
        <f>C56+D56</f>
        <v>45007</v>
      </c>
      <c r="F56" s="197">
        <f>ROUND(E56*$E$3,0)</f>
        <v>9271</v>
      </c>
      <c r="G56" s="197">
        <f>ROUND(IF(E56&gt;$L$6,$N$6*(E56-$L$6)+$N$5*($L$6-$L$5)+$N$4*($L$5-$L$2),IF($L$6&gt;E56&gt;$L$5,$N$5*(E56-$L$5)+$N$4*($L$5-$L$2),0)),0)</f>
        <v>5020</v>
      </c>
      <c r="H56" s="197">
        <f>E56/100*0.5</f>
        <v>225.035</v>
      </c>
      <c r="I56" s="197">
        <f>F56+G56+H56</f>
        <v>14516.035</v>
      </c>
      <c r="J56" s="197">
        <f>I56+E56</f>
        <v>59523.035</v>
      </c>
      <c r="K56" s="197">
        <f>J56/$K$11</f>
        <v>4960.2529166666673</v>
      </c>
      <c r="L56" s="198">
        <f>J56/$L$11</f>
        <v>270.55925</v>
      </c>
      <c r="M56" s="198">
        <f>J56/$M$11</f>
        <v>1352.79625</v>
      </c>
      <c r="N56" s="199">
        <f>J56/$N$11</f>
        <v>36.074566666666669</v>
      </c>
    </row>
    <row r="57" spans="1:14">
      <c r="A57" s="283"/>
      <c r="B57" s="279">
        <v>31</v>
      </c>
      <c r="C57" s="282">
        <v>39656</v>
      </c>
      <c r="D57" s="280">
        <f>IF($I$2*C57&gt;$I$4,$I$4,IF($I$2*C57&lt;$I$3,$I$3,$I$2*C57))</f>
        <v>6663</v>
      </c>
      <c r="E57" s="197">
        <f>C57+D57</f>
        <v>46319</v>
      </c>
      <c r="F57" s="197">
        <f>ROUND(E57*$E$3,0)</f>
        <v>9542</v>
      </c>
      <c r="G57" s="197">
        <f>ROUND(IF(E57&gt;$L$6,$N$6*(E57-$L$6)+$N$5*($L$6-$L$5)+$N$4*($L$5-$L$2),IF($L$6&gt;E57&gt;$L$5,$N$5*(E57-$L$5)+$N$4*($L$5-$L$2),0)),0)</f>
        <v>5201</v>
      </c>
      <c r="H57" s="197">
        <f>E57/100*0.5</f>
        <v>231.595</v>
      </c>
      <c r="I57" s="197">
        <f>F57+G57+H57</f>
        <v>14974.595</v>
      </c>
      <c r="J57" s="197">
        <f>I57+E57</f>
        <v>61293.595</v>
      </c>
      <c r="K57" s="197">
        <f>J57/$K$11</f>
        <v>5107.7995833333334</v>
      </c>
      <c r="L57" s="198">
        <f>J57/$L$11</f>
        <v>278.60725</v>
      </c>
      <c r="M57" s="198">
        <f>J57/$M$11</f>
        <v>1393.03625</v>
      </c>
      <c r="N57" s="199">
        <f>J57/$N$11</f>
        <v>37.147633333333332</v>
      </c>
    </row>
    <row r="58" spans="1:14">
      <c r="A58" s="283"/>
      <c r="B58" s="279">
        <v>32</v>
      </c>
      <c r="C58" s="282">
        <v>41034</v>
      </c>
      <c r="D58" s="280">
        <f>IF($I$2*C58&gt;$I$4,$I$4,IF($I$2*C58&lt;$I$3,$I$3,$I$2*C58))</f>
        <v>6663</v>
      </c>
      <c r="E58" s="197">
        <f>C58+D58</f>
        <v>47697</v>
      </c>
      <c r="F58" s="197">
        <f>ROUND(E58*$E$3,0)</f>
        <v>9826</v>
      </c>
      <c r="G58" s="197">
        <f>ROUND(IF(E58&gt;$L$6,$N$6*(E58-$L$6)+$N$5*($L$6-$L$5)+$N$4*($L$5-$L$2),IF($L$6&gt;E58&gt;$L$5,$N$5*(E58-$L$5)+$N$4*($L$5-$L$2),0)),0)</f>
        <v>5391</v>
      </c>
      <c r="H58" s="197">
        <f>E58/100*0.5</f>
        <v>238.485</v>
      </c>
      <c r="I58" s="197">
        <f>F58+G58+H58</f>
        <v>15455.485</v>
      </c>
      <c r="J58" s="197">
        <f>I58+E58</f>
        <v>63152.485</v>
      </c>
      <c r="K58" s="197">
        <f>J58/$K$11</f>
        <v>5262.7070833333337</v>
      </c>
      <c r="L58" s="198">
        <f>J58/$L$11</f>
        <v>287.05675</v>
      </c>
      <c r="M58" s="198">
        <f>J58/$M$11</f>
        <v>1435.28375</v>
      </c>
      <c r="N58" s="199">
        <f>J58/$N$11</f>
        <v>38.274233333333335</v>
      </c>
    </row>
    <row r="59" spans="1:14">
      <c r="A59" s="283"/>
      <c r="B59" s="279">
        <v>33</v>
      </c>
      <c r="C59" s="282">
        <v>43041</v>
      </c>
      <c r="D59" s="280">
        <f>IF($I$2*C59&gt;$I$4,$I$4,IF($I$2*C59&lt;$I$3,$I$3,$I$2*C59))</f>
        <v>6663</v>
      </c>
      <c r="E59" s="197">
        <f>C59+D59</f>
        <v>49704</v>
      </c>
      <c r="F59" s="197">
        <f>ROUND(E59*$E$3,0)</f>
        <v>10239</v>
      </c>
      <c r="G59" s="197">
        <f>ROUND(IF(E59&gt;$L$6,$N$6*(E59-$L$6)+$N$5*($L$6-$L$5)+$N$4*($L$5-$L$2),IF($L$6&gt;E59&gt;$L$5,$N$5*(E59-$L$5)+$N$4*($L$5-$L$2),0)),0)</f>
        <v>5668</v>
      </c>
      <c r="H59" s="197">
        <f>E59/100*0.5</f>
        <v>248.52</v>
      </c>
      <c r="I59" s="197">
        <f>F59+G59+H59</f>
        <v>16155.52</v>
      </c>
      <c r="J59" s="197">
        <f>I59+E59</f>
        <v>65859.52</v>
      </c>
      <c r="K59" s="197">
        <f>J59/$K$11</f>
        <v>5488.293333333334</v>
      </c>
      <c r="L59" s="198">
        <f>J59/$L$11</f>
        <v>299.36145454545459</v>
      </c>
      <c r="M59" s="198">
        <f>J59/$M$11</f>
        <v>1496.8072727272729</v>
      </c>
      <c r="N59" s="199">
        <f>J59/$N$11</f>
        <v>39.914860606060607</v>
      </c>
    </row>
    <row r="60" spans="1:14">
      <c r="A60" s="281"/>
      <c r="B60" s="279">
        <v>34</v>
      </c>
      <c r="C60" s="282">
        <v>43041</v>
      </c>
      <c r="D60" s="280">
        <f>IF($I$2*C60&gt;$I$4,$I$4,IF($I$2*C60&lt;$I$3,$I$3,$I$2*C60))</f>
        <v>6663</v>
      </c>
      <c r="E60" s="197">
        <f>C60+D60</f>
        <v>49704</v>
      </c>
      <c r="F60" s="197">
        <f>ROUND(E60*$E$3,0)</f>
        <v>10239</v>
      </c>
      <c r="G60" s="197">
        <f>ROUND(IF(E60&gt;$L$6,$N$6*(E60-$L$6)+$N$5*($L$6-$L$5)+$N$4*($L$5-$L$2),IF($L$6&gt;E60&gt;$L$5,$N$5*(E60-$L$5)+$N$4*($L$5-$L$2),0)),0)</f>
        <v>5668</v>
      </c>
      <c r="H60" s="197">
        <f>E60/100*0.5</f>
        <v>248.52</v>
      </c>
      <c r="I60" s="197">
        <f>F60+G60+H60</f>
        <v>16155.52</v>
      </c>
      <c r="J60" s="197">
        <f>I60+E60</f>
        <v>65859.52</v>
      </c>
      <c r="K60" s="197">
        <f>J60/$K$11</f>
        <v>5488.293333333334</v>
      </c>
      <c r="L60" s="198">
        <f>J60/$L$11</f>
        <v>299.36145454545459</v>
      </c>
      <c r="M60" s="198">
        <f>J60/$M$11</f>
        <v>1496.8072727272729</v>
      </c>
      <c r="N60" s="199">
        <f>J60/$N$11</f>
        <v>39.914860606060607</v>
      </c>
    </row>
    <row r="61" spans="1:14">
      <c r="A61" s="278" t="s">
        <v>304</v>
      </c>
      <c r="B61" s="279">
        <v>33</v>
      </c>
      <c r="C61" s="282">
        <v>42414</v>
      </c>
      <c r="D61" s="280">
        <f>IF($I$2*C61&gt;$I$4,$I$4,IF($I$2*C61&lt;$I$3,$I$3,$I$2*C61))</f>
        <v>6663</v>
      </c>
      <c r="E61" s="197">
        <f>C61+D61</f>
        <v>49077</v>
      </c>
      <c r="F61" s="197">
        <f>ROUND(E61*$E$3,0)</f>
        <v>10110</v>
      </c>
      <c r="G61" s="197">
        <f>ROUND(IF(E61&gt;$L$6,$N$6*(E61-$L$6)+$N$5*($L$6-$L$5)+$N$4*($L$5-$L$2),IF($L$6&gt;E61&gt;$L$5,$N$5*(E61-$L$5)+$N$4*($L$5-$L$2),0)),0)</f>
        <v>5581</v>
      </c>
      <c r="H61" s="197">
        <f>E61/100*0.5</f>
        <v>245.385</v>
      </c>
      <c r="I61" s="197">
        <f>F61+G61+H61</f>
        <v>15936.385</v>
      </c>
      <c r="J61" s="197">
        <f>I61+E61</f>
        <v>65013.385</v>
      </c>
      <c r="K61" s="197">
        <f>J61/$K$11</f>
        <v>5417.7820833333335</v>
      </c>
      <c r="L61" s="198">
        <f>J61/$L$11</f>
        <v>295.51538636363637</v>
      </c>
      <c r="M61" s="198">
        <f>J61/$M$11</f>
        <v>1477.5769318181819</v>
      </c>
      <c r="N61" s="199">
        <f>J61/$N$11</f>
        <v>39.40205151515152</v>
      </c>
    </row>
    <row r="62" spans="1:14">
      <c r="A62" s="283"/>
      <c r="B62" s="284">
        <v>34</v>
      </c>
      <c r="C62" s="282">
        <v>44121</v>
      </c>
      <c r="D62" s="285">
        <f>IF($I$2*C62&gt;$I$4,$I$4,IF($I$2*C62&lt;$I$3,$I$3,$I$2*C62))</f>
        <v>6663</v>
      </c>
      <c r="E62" s="286">
        <f>C62+D62</f>
        <v>50784</v>
      </c>
      <c r="F62" s="197">
        <f>ROUND(E62*$E$3,0)</f>
        <v>10462</v>
      </c>
      <c r="G62" s="197">
        <f>ROUND(IF(E62&gt;$L$6,$N$6*(E62-$L$6)+$N$5*($L$6-$L$5)+$N$4*($L$5-$L$2),IF($L$6&gt;E62&gt;$L$5,$N$5*(E62-$L$5)+$N$4*($L$5-$L$2),0)),0)</f>
        <v>5817</v>
      </c>
      <c r="H62" s="197">
        <f>E62/100*0.5</f>
        <v>253.92</v>
      </c>
      <c r="I62" s="197">
        <f>F62+G62+H62</f>
        <v>16532.92</v>
      </c>
      <c r="J62" s="197">
        <f>I62+E62</f>
        <v>67316.92</v>
      </c>
      <c r="K62" s="197">
        <f>J62/$K$11</f>
        <v>5609.7433333333329</v>
      </c>
      <c r="L62" s="198">
        <f>J62/$L$11</f>
        <v>305.986</v>
      </c>
      <c r="M62" s="198">
        <f>J62/$M$11</f>
        <v>1529.93</v>
      </c>
      <c r="N62" s="199">
        <f>J62/$N$11</f>
        <v>40.798133333333332</v>
      </c>
    </row>
    <row r="63" spans="1:14">
      <c r="A63" s="287"/>
      <c r="B63" s="288">
        <v>35</v>
      </c>
      <c r="C63" s="282">
        <v>45827</v>
      </c>
      <c r="D63" s="280">
        <f>IF($I$2*C63&gt;$I$4,$I$4,IF($I$2*C63&lt;$I$3,$I$3,$I$2*C63))</f>
        <v>6663</v>
      </c>
      <c r="E63" s="197">
        <f>C63+D63</f>
        <v>52490</v>
      </c>
      <c r="F63" s="197">
        <f>ROUND(E63*$E$3,0)</f>
        <v>10813</v>
      </c>
      <c r="G63" s="197">
        <f>ROUND(IF(E63&gt;$L$6,$N$6*(E63-$L$6)+$N$5*($L$6-$L$5)+$N$4*($L$5-$L$2),IF($L$6&gt;E63&gt;$L$5,$N$5*(E63-$L$5)+$N$4*($L$5-$L$2),0)),0)</f>
        <v>6052</v>
      </c>
      <c r="H63" s="197">
        <f>E63/100*0.5</f>
        <v>262.45</v>
      </c>
      <c r="I63" s="197">
        <f>F63+G63+H63</f>
        <v>17127.45</v>
      </c>
      <c r="J63" s="197">
        <f>I63+E63</f>
        <v>69617.45</v>
      </c>
      <c r="K63" s="197">
        <f>J63/$K$11</f>
        <v>5801.4541666666664</v>
      </c>
      <c r="L63" s="198">
        <f>J63/$L$11</f>
        <v>316.44295454545454</v>
      </c>
      <c r="M63" s="198">
        <f>J63/$M$11</f>
        <v>1582.2147727272727</v>
      </c>
      <c r="N63" s="199">
        <f>J63/$N$11</f>
        <v>42.192393939393938</v>
      </c>
    </row>
    <row r="64" spans="1:14">
      <c r="A64" s="287"/>
      <c r="B64" s="288">
        <v>36</v>
      </c>
      <c r="C64" s="282">
        <v>47798</v>
      </c>
      <c r="D64" s="280">
        <f>IF($I$2*C64&gt;$I$4,$I$4,IF($I$2*C64&lt;$I$3,$I$3,$I$2*C64))</f>
        <v>6663</v>
      </c>
      <c r="E64" s="197">
        <f>C64+D64</f>
        <v>54461</v>
      </c>
      <c r="F64" s="197">
        <f>ROUND(E64*$E$3,0)</f>
        <v>11219</v>
      </c>
      <c r="G64" s="197">
        <f>ROUND(IF(E64&gt;$L$6,$N$6*(E64-$L$6)+$N$5*($L$6-$L$5)+$N$4*($L$5-$L$2),IF($L$6&gt;E64&gt;$L$5,$N$5*(E64-$L$5)+$N$4*($L$5-$L$2),0)),0)</f>
        <v>6324</v>
      </c>
      <c r="H64" s="197">
        <f>E64/100*0.5</f>
        <v>272.305</v>
      </c>
      <c r="I64" s="197">
        <f>F64+G64+H64</f>
        <v>17815.305</v>
      </c>
      <c r="J64" s="197">
        <f>I64+E64</f>
        <v>72276.305</v>
      </c>
      <c r="K64" s="197">
        <f>J64/$K$11</f>
        <v>6023.0254166666664</v>
      </c>
      <c r="L64" s="198">
        <f>J64/$L$11</f>
        <v>328.52865909090906</v>
      </c>
      <c r="M64" s="198">
        <f>J64/$M$11</f>
        <v>1642.6432954545453</v>
      </c>
      <c r="N64" s="199">
        <f>J64/$N$11</f>
        <v>43.803821212121207</v>
      </c>
    </row>
    <row r="65" spans="1:14">
      <c r="A65" s="287"/>
      <c r="B65" s="288">
        <v>37</v>
      </c>
      <c r="C65" s="282">
        <v>49969</v>
      </c>
      <c r="D65" s="280">
        <f>IF($I$2*C65&gt;$I$4,$I$4,IF($I$2*C65&lt;$I$3,$I$3,$I$2*C65))</f>
        <v>6663</v>
      </c>
      <c r="E65" s="197">
        <f>C65+D65</f>
        <v>56632</v>
      </c>
      <c r="F65" s="197">
        <f>ROUND(E65*$E$3,0)</f>
        <v>11666</v>
      </c>
      <c r="G65" s="197">
        <f>ROUND(IF(E65&gt;$L$6,$N$6*(E65-$L$6)+$N$5*($L$6-$L$5)+$N$4*($L$5-$L$2),IF($L$6&gt;E65&gt;$L$5,$N$5*(E65-$L$5)+$N$4*($L$5-$L$2),0)),0)</f>
        <v>6624</v>
      </c>
      <c r="H65" s="197">
        <f>E65/100*0.5</f>
        <v>283.16</v>
      </c>
      <c r="I65" s="197">
        <f>F65+G65+H65</f>
        <v>18573.16</v>
      </c>
      <c r="J65" s="197">
        <f>I65+E65</f>
        <v>75205.16</v>
      </c>
      <c r="K65" s="197">
        <f>J65/$K$11</f>
        <v>6267.0966666666673</v>
      </c>
      <c r="L65" s="198">
        <f>J65/$L$11</f>
        <v>341.84163636363638</v>
      </c>
      <c r="M65" s="198">
        <f>J65/$M$11</f>
        <v>1709.2081818181819</v>
      </c>
      <c r="N65" s="199">
        <f>J65/$N$11</f>
        <v>45.578884848484847</v>
      </c>
    </row>
    <row r="66" spans="1:14">
      <c r="A66" s="289"/>
      <c r="B66" s="288">
        <v>38</v>
      </c>
      <c r="C66" s="282">
        <v>49969</v>
      </c>
      <c r="D66" s="280">
        <f>IF($I$2*C66&gt;$I$4,$I$4,IF($I$2*C66&lt;$I$3,$I$3,$I$2*C66))</f>
        <v>6663</v>
      </c>
      <c r="E66" s="197">
        <f>C66+D66</f>
        <v>56632</v>
      </c>
      <c r="F66" s="197">
        <f>ROUND(E66*$E$3,0)</f>
        <v>11666</v>
      </c>
      <c r="G66" s="197">
        <f>ROUND(IF(E66&gt;$L$6,$N$6*(E66-$L$6)+$N$5*($L$6-$L$5)+$N$4*($L$5-$L$2),IF($L$6&gt;E66&gt;$L$5,$N$5*(E66-$L$5)+$N$4*($L$5-$L$2),0)),0)</f>
        <v>6624</v>
      </c>
      <c r="H66" s="197">
        <f>E66/100*0.5</f>
        <v>283.16</v>
      </c>
      <c r="I66" s="197">
        <f>F66+G66+H66</f>
        <v>18573.16</v>
      </c>
      <c r="J66" s="197">
        <f>I66+E66</f>
        <v>75205.16</v>
      </c>
      <c r="K66" s="197">
        <f>J66/$K$11</f>
        <v>6267.0966666666673</v>
      </c>
      <c r="L66" s="198">
        <f>J66/$L$11</f>
        <v>341.84163636363638</v>
      </c>
      <c r="M66" s="198">
        <f>J66/$M$11</f>
        <v>1709.2081818181819</v>
      </c>
      <c r="N66" s="199">
        <f>J66/$N$11</f>
        <v>45.578884848484847</v>
      </c>
    </row>
    <row r="67" spans="1:14">
      <c r="A67" s="290" t="s">
        <v>305</v>
      </c>
      <c r="B67" s="288">
        <v>37</v>
      </c>
      <c r="C67" s="282">
        <v>49242</v>
      </c>
      <c r="D67" s="280">
        <f>IF($I$2*C67&gt;$I$4,$I$4,IF($I$2*C67&lt;$I$3,$I$3,$I$2*C67))</f>
        <v>6663</v>
      </c>
      <c r="E67" s="197">
        <f>C67+D67</f>
        <v>55905</v>
      </c>
      <c r="F67" s="197">
        <f>ROUND(E67*$E$3,0)</f>
        <v>11516</v>
      </c>
      <c r="G67" s="197">
        <f>ROUND(IF(E67&gt;$L$6,$N$6*(E67-$L$6)+$N$5*($L$6-$L$5)+$N$4*($L$5-$L$2),IF($L$6&gt;E67&gt;$L$5,$N$5*(E67-$L$5)+$N$4*($L$5-$L$2),0)),0)</f>
        <v>6524</v>
      </c>
      <c r="H67" s="197">
        <f>E67/100*0.5</f>
        <v>279.525</v>
      </c>
      <c r="I67" s="197">
        <f>F67+G67+H67</f>
        <v>18319.525</v>
      </c>
      <c r="J67" s="197">
        <f>I67+E67</f>
        <v>74224.525</v>
      </c>
      <c r="K67" s="197">
        <f>J67/$K$11</f>
        <v>6185.3770833333328</v>
      </c>
      <c r="L67" s="198">
        <f>J67/$L$11</f>
        <v>337.38420454545451</v>
      </c>
      <c r="M67" s="198">
        <f>J67/$M$11</f>
        <v>1686.9210227272727</v>
      </c>
      <c r="N67" s="199">
        <f>J67/$N$11</f>
        <v>44.984560606060604</v>
      </c>
    </row>
    <row r="68" spans="1:14">
      <c r="A68" s="287"/>
      <c r="B68" s="288">
        <v>38</v>
      </c>
      <c r="C68" s="282">
        <v>51737</v>
      </c>
      <c r="D68" s="280">
        <f>IF($I$2*C68&gt;$I$4,$I$4,IF($I$2*C68&lt;$I$3,$I$3,$I$2*C68))</f>
        <v>6663</v>
      </c>
      <c r="E68" s="197">
        <f>C68+D68</f>
        <v>58400</v>
      </c>
      <c r="F68" s="197">
        <f>ROUND(E68*$E$3,0)</f>
        <v>12030</v>
      </c>
      <c r="G68" s="197">
        <f>ROUND(IF(E68&gt;$L$6,$N$6*(E68-$L$6)+$N$5*($L$6-$L$5)+$N$4*($L$5-$L$2),IF($L$6&gt;E68&gt;$L$5,$N$5*(E68-$L$5)+$N$4*($L$5-$L$2),0)),0)</f>
        <v>6868</v>
      </c>
      <c r="H68" s="197">
        <f>E68/100*0.5</f>
        <v>292</v>
      </c>
      <c r="I68" s="197">
        <f>F68+G68+H68</f>
        <v>19190</v>
      </c>
      <c r="J68" s="197">
        <f>I68+E68</f>
        <v>77590</v>
      </c>
      <c r="K68" s="197">
        <f>J68/$K$11</f>
        <v>6465.833333333333</v>
      </c>
      <c r="L68" s="198">
        <f>J68/$L$11</f>
        <v>352.68181818181819</v>
      </c>
      <c r="M68" s="198">
        <f>J68/$M$11</f>
        <v>1763.409090909091</v>
      </c>
      <c r="N68" s="199">
        <f>J68/$N$11</f>
        <v>47.024242424242424</v>
      </c>
    </row>
    <row r="69" spans="1:14">
      <c r="A69" s="287"/>
      <c r="B69" s="288">
        <v>39</v>
      </c>
      <c r="C69" s="282">
        <v>54625</v>
      </c>
      <c r="D69" s="280">
        <f>IF($I$2*C69&gt;$I$4,$I$4,IF($I$2*C69&lt;$I$3,$I$3,$I$2*C69))</f>
        <v>6663</v>
      </c>
      <c r="E69" s="197">
        <f>C69+D69</f>
        <v>61288</v>
      </c>
      <c r="F69" s="197">
        <f>ROUND(E69*$E$3,0)</f>
        <v>12625</v>
      </c>
      <c r="G69" s="197">
        <f>ROUND(IF(E69&gt;$L$6,$N$6*(E69-$L$6)+$N$5*($L$6-$L$5)+$N$4*($L$5-$L$2),IF($L$6&gt;E69&gt;$L$5,$N$5*(E69-$L$5)+$N$4*($L$5-$L$2),0)),0)</f>
        <v>7267</v>
      </c>
      <c r="H69" s="197">
        <f>E69/100*0.5</f>
        <v>306.44</v>
      </c>
      <c r="I69" s="197">
        <f>F69+G69+H69</f>
        <v>20198.44</v>
      </c>
      <c r="J69" s="197">
        <f>I69+E69</f>
        <v>81486.44</v>
      </c>
      <c r="K69" s="197">
        <f>J69/$K$11</f>
        <v>6790.5366666666669</v>
      </c>
      <c r="L69" s="198">
        <f>J69/$L$11</f>
        <v>370.39290909090909</v>
      </c>
      <c r="M69" s="198">
        <f>J69/$M$11</f>
        <v>1851.9645454545455</v>
      </c>
      <c r="N69" s="199">
        <f>J69/$N$11</f>
        <v>49.385721212121211</v>
      </c>
    </row>
    <row r="70" spans="1:14">
      <c r="A70" s="287"/>
      <c r="B70" s="288">
        <v>40</v>
      </c>
      <c r="C70" s="282">
        <v>57515</v>
      </c>
      <c r="D70" s="280">
        <f>IF($I$2*C70&gt;$I$4,$I$4,IF($I$2*C70&lt;$I$3,$I$3,$I$2*C70))</f>
        <v>6663</v>
      </c>
      <c r="E70" s="197">
        <f>C70+D70</f>
        <v>64178</v>
      </c>
      <c r="F70" s="197">
        <f>ROUND(E70*$E$3,0)</f>
        <v>13221</v>
      </c>
      <c r="G70" s="197">
        <f>ROUND(IF(E70&gt;$L$6,$N$6*(E70-$L$6)+$N$5*($L$6-$L$5)+$N$4*($L$5-$L$2),IF($L$6&gt;E70&gt;$L$5,$N$5*(E70-$L$5)+$N$4*($L$5-$L$2),0)),0)</f>
        <v>7665</v>
      </c>
      <c r="H70" s="197">
        <f>E70/100*0.5</f>
        <v>320.89</v>
      </c>
      <c r="I70" s="197">
        <f>F70+G70+H70</f>
        <v>21206.89</v>
      </c>
      <c r="J70" s="197">
        <f>I70+E70</f>
        <v>85384.89</v>
      </c>
      <c r="K70" s="197">
        <f>J70/$K$11</f>
        <v>7115.4075</v>
      </c>
      <c r="L70" s="198">
        <f>J70/$L$11</f>
        <v>388.11313636363639</v>
      </c>
      <c r="M70" s="198">
        <f>J70/$M$11</f>
        <v>1940.5656818181817</v>
      </c>
      <c r="N70" s="199">
        <f>J70/$N$11</f>
        <v>51.748418181818181</v>
      </c>
    </row>
    <row r="71" spans="1:14">
      <c r="A71" s="287"/>
      <c r="B71" s="288">
        <v>41</v>
      </c>
      <c r="C71" s="282">
        <v>59964</v>
      </c>
      <c r="D71" s="280">
        <f>IF($I$2*C71&gt;$I$4,$I$4,IF($I$2*C71&lt;$I$3,$I$3,$I$2*C71))</f>
        <v>6663</v>
      </c>
      <c r="E71" s="197">
        <f>C71+D71</f>
        <v>66627</v>
      </c>
      <c r="F71" s="197">
        <f>ROUND(E71*$E$3,0)</f>
        <v>13725</v>
      </c>
      <c r="G71" s="197">
        <f>ROUND(IF(E71&gt;$L$6,$N$6*(E71-$L$6)+$N$5*($L$6-$L$5)+$N$4*($L$5-$L$2),IF($L$6&gt;E71&gt;$L$5,$N$5*(E71-$L$5)+$N$4*($L$5-$L$2),0)),0)</f>
        <v>8003</v>
      </c>
      <c r="H71" s="197">
        <f>E71/100*0.5</f>
        <v>333.135</v>
      </c>
      <c r="I71" s="197">
        <f>F71+G71+H71</f>
        <v>22061.135</v>
      </c>
      <c r="J71" s="197">
        <f>I71+E71</f>
        <v>88688.135</v>
      </c>
      <c r="K71" s="197">
        <f>J71/$K$11</f>
        <v>7390.6779166666665</v>
      </c>
      <c r="L71" s="198">
        <f>J71/$L$11</f>
        <v>403.12788636363632</v>
      </c>
      <c r="M71" s="198">
        <f>J71/$M$11</f>
        <v>2015.6394318181817</v>
      </c>
      <c r="N71" s="199">
        <f>J71/$N$11</f>
        <v>53.750384848484842</v>
      </c>
    </row>
    <row r="72" spans="1:14">
      <c r="A72" s="289"/>
      <c r="B72" s="288">
        <v>42</v>
      </c>
      <c r="C72" s="282">
        <v>59964</v>
      </c>
      <c r="D72" s="280">
        <f>IF($I$2*C72&gt;$I$4,$I$4,IF($I$2*C72&lt;$I$3,$I$3,$I$2*C72))</f>
        <v>6663</v>
      </c>
      <c r="E72" s="197">
        <f>C72+D72</f>
        <v>66627</v>
      </c>
      <c r="F72" s="197">
        <f>ROUND(E72*$E$3,0)</f>
        <v>13725</v>
      </c>
      <c r="G72" s="197">
        <f>ROUND(IF(E72&gt;$L$6,$N$6*(E72-$L$6)+$N$5*($L$6-$L$5)+$N$4*($L$5-$L$2),IF($L$6&gt;E72&gt;$L$5,$N$5*(E72-$L$5)+$N$4*($L$5-$L$2),0)),0)</f>
        <v>8003</v>
      </c>
      <c r="H72" s="197">
        <f>E72/100*0.5</f>
        <v>333.135</v>
      </c>
      <c r="I72" s="197">
        <f>F72+G72+H72</f>
        <v>22061.135</v>
      </c>
      <c r="J72" s="197">
        <f>I72+E72</f>
        <v>88688.135</v>
      </c>
      <c r="K72" s="197">
        <f>J72/$K$11</f>
        <v>7390.6779166666665</v>
      </c>
      <c r="L72" s="198">
        <f>J72/$L$11</f>
        <v>403.12788636363632</v>
      </c>
      <c r="M72" s="198">
        <f>J72/$M$11</f>
        <v>2015.6394318181817</v>
      </c>
      <c r="N72" s="199">
        <f>J72/$N$11</f>
        <v>53.750384848484842</v>
      </c>
    </row>
    <row r="73" spans="1:14">
      <c r="A73" s="290" t="s">
        <v>306</v>
      </c>
      <c r="B73" s="288">
        <v>41</v>
      </c>
      <c r="C73" s="282">
        <v>59090</v>
      </c>
      <c r="D73" s="280">
        <f>IF($I$2*C73&gt;$I$4,$I$4,IF($I$2*C73&lt;$I$3,$I$3,$I$2*C73))</f>
        <v>6663</v>
      </c>
      <c r="E73" s="197">
        <f>C73+D73</f>
        <v>65753</v>
      </c>
      <c r="F73" s="197">
        <f>ROUND(E73*$E$3,0)</f>
        <v>13545</v>
      </c>
      <c r="G73" s="197">
        <f>ROUND(IF(E73&gt;$L$6,$N$6*(E73-$L$6)+$N$5*($L$6-$L$5)+$N$4*($L$5-$L$2),IF($L$6&gt;E73&gt;$L$5,$N$5*(E73-$L$5)+$N$4*($L$5-$L$2),0)),0)</f>
        <v>7883</v>
      </c>
      <c r="H73" s="197">
        <f>E73/100*0.5</f>
        <v>328.765</v>
      </c>
      <c r="I73" s="197">
        <f>F73+G73+H73</f>
        <v>21756.765</v>
      </c>
      <c r="J73" s="197">
        <f>I73+E73</f>
        <v>87509.765</v>
      </c>
      <c r="K73" s="197">
        <f>J73/$K$11</f>
        <v>7292.4804166666663</v>
      </c>
      <c r="L73" s="198">
        <f>J73/$L$11</f>
        <v>397.77165909090911</v>
      </c>
      <c r="M73" s="198">
        <f>J73/$M$11</f>
        <v>1988.8582954545454</v>
      </c>
      <c r="N73" s="199">
        <f>J73/$N$11</f>
        <v>53.036221212121212</v>
      </c>
    </row>
    <row r="74" spans="1:14">
      <c r="A74" s="287"/>
      <c r="B74" s="288">
        <v>42</v>
      </c>
      <c r="C74" s="282">
        <v>61105</v>
      </c>
      <c r="D74" s="280">
        <f>IF($I$2*C74&gt;$I$4,$I$4,IF($I$2*C74&lt;$I$3,$I$3,$I$2*C74))</f>
        <v>6663</v>
      </c>
      <c r="E74" s="197">
        <f>C74+D74</f>
        <v>67768</v>
      </c>
      <c r="F74" s="197">
        <f>ROUND(E74*$E$3,0)</f>
        <v>13960</v>
      </c>
      <c r="G74" s="197">
        <f>ROUND(IF(E74&gt;$L$6,$N$6*(E74-$L$6)+$N$5*($L$6-$L$5)+$N$4*($L$5-$L$2),IF($L$6&gt;E74&gt;$L$5,$N$5*(E74-$L$5)+$N$4*($L$5-$L$2),0)),0)</f>
        <v>8161</v>
      </c>
      <c r="H74" s="197">
        <f>E74/100*0.5</f>
        <v>338.84</v>
      </c>
      <c r="I74" s="197">
        <f>F74+G74+H74</f>
        <v>22459.84</v>
      </c>
      <c r="J74" s="197">
        <f>I74+E74</f>
        <v>90227.84</v>
      </c>
      <c r="K74" s="197">
        <f>J74/$K$11</f>
        <v>7518.9866666666667</v>
      </c>
      <c r="L74" s="198">
        <f>J74/$L$11</f>
        <v>410.12654545454546</v>
      </c>
      <c r="M74" s="198">
        <f>J74/$M$11</f>
        <v>2050.6327272727272</v>
      </c>
      <c r="N74" s="199">
        <f>J74/$N$11</f>
        <v>54.683539393939391</v>
      </c>
    </row>
    <row r="75" spans="1:14">
      <c r="A75" s="287"/>
      <c r="B75" s="288">
        <v>43</v>
      </c>
      <c r="C75" s="282">
        <v>63966</v>
      </c>
      <c r="D75" s="280">
        <f>IF($I$2*C75&gt;$I$4,$I$4,IF($I$2*C75&lt;$I$3,$I$3,$I$2*C75))</f>
        <v>6663</v>
      </c>
      <c r="E75" s="197">
        <f>C75+D75</f>
        <v>70629</v>
      </c>
      <c r="F75" s="197">
        <f>ROUND(E75*$E$3,0)</f>
        <v>14550</v>
      </c>
      <c r="G75" s="197">
        <f>ROUND(IF(E75&gt;$L$6,$N$6*(E75-$L$6)+$N$5*($L$6-$L$5)+$N$4*($L$5-$L$2),IF($L$6&gt;E75&gt;$L$5,$N$5*(E75-$L$5)+$N$4*($L$5-$L$2),0)),0)</f>
        <v>8556</v>
      </c>
      <c r="H75" s="197">
        <f>E75/100*0.5</f>
        <v>353.145</v>
      </c>
      <c r="I75" s="197">
        <f>F75+G75+H75</f>
        <v>23459.145</v>
      </c>
      <c r="J75" s="197">
        <f>I75+E75</f>
        <v>94088.145</v>
      </c>
      <c r="K75" s="197">
        <f>J75/$K$11</f>
        <v>7840.67875</v>
      </c>
      <c r="L75" s="198">
        <f>J75/$L$11</f>
        <v>427.67338636363638</v>
      </c>
      <c r="M75" s="198">
        <f>J75/$M$11</f>
        <v>2138.3669318181819</v>
      </c>
      <c r="N75" s="199">
        <f>J75/$N$11</f>
        <v>57.023118181818184</v>
      </c>
    </row>
    <row r="76" spans="1:14">
      <c r="A76" s="287"/>
      <c r="B76" s="288">
        <v>44</v>
      </c>
      <c r="C76" s="282">
        <v>68256</v>
      </c>
      <c r="D76" s="280">
        <f>IF($I$2*C76&gt;$I$4,$I$4,IF($I$2*C76&lt;$I$3,$I$3,$I$2*C76))</f>
        <v>6663</v>
      </c>
      <c r="E76" s="197">
        <f>C76+D76</f>
        <v>74919</v>
      </c>
      <c r="F76" s="197">
        <f>ROUND(E76*$E$3,0)</f>
        <v>15433</v>
      </c>
      <c r="G76" s="197">
        <f>ROUND(IF(E76&gt;$L$6,$N$6*(E76-$L$6)+$N$5*($L$6-$L$5)+$N$4*($L$5-$L$2),IF($L$6&gt;E76&gt;$L$5,$N$5*(E76-$L$5)+$N$4*($L$5-$L$2),0)),0)</f>
        <v>9148</v>
      </c>
      <c r="H76" s="197">
        <f>E76/100*0.5</f>
        <v>374.595</v>
      </c>
      <c r="I76" s="197">
        <f>F76+G76+H76</f>
        <v>24955.595</v>
      </c>
      <c r="J76" s="197">
        <f>I76+E76</f>
        <v>99874.595</v>
      </c>
      <c r="K76" s="197">
        <f>J76/$K$11</f>
        <v>8322.8829166666674</v>
      </c>
      <c r="L76" s="198">
        <f>J76/$L$11</f>
        <v>453.97543181818185</v>
      </c>
      <c r="M76" s="198">
        <f>J76/$M$11</f>
        <v>2269.8771590909091</v>
      </c>
      <c r="N76" s="199">
        <f>J76/$N$11</f>
        <v>60.530057575757574</v>
      </c>
    </row>
    <row r="77" spans="1:14">
      <c r="A77" s="287"/>
      <c r="B77" s="288">
        <v>45</v>
      </c>
      <c r="C77" s="282">
        <v>71243</v>
      </c>
      <c r="D77" s="280">
        <f>IF($I$2*C77&gt;$I$4,$I$4,IF($I$2*C77&lt;$I$3,$I$3,$I$2*C77))</f>
        <v>6663</v>
      </c>
      <c r="E77" s="197">
        <f>C77+D77</f>
        <v>77906</v>
      </c>
      <c r="F77" s="197">
        <f>ROUND(E77*$E$3,0)</f>
        <v>16049</v>
      </c>
      <c r="G77" s="197">
        <f>ROUND(IF(E77&gt;$L$6,$N$6*(E77-$L$6)+$N$5*($L$6-$L$5)+$N$4*($L$5-$L$2),IF($L$6&gt;E77&gt;$L$5,$N$5*(E77-$L$5)+$N$4*($L$5-$L$2),0)),0)</f>
        <v>9560</v>
      </c>
      <c r="H77" s="197">
        <f>E77/100*0.5</f>
        <v>389.53</v>
      </c>
      <c r="I77" s="197">
        <f>F77+G77+H77</f>
        <v>25998.53</v>
      </c>
      <c r="J77" s="197">
        <f>I77+E77</f>
        <v>103904.53</v>
      </c>
      <c r="K77" s="197">
        <f>J77/$K$11</f>
        <v>8658.7108333333326</v>
      </c>
      <c r="L77" s="198">
        <f>J77/$L$11</f>
        <v>472.29331818181817</v>
      </c>
      <c r="M77" s="198">
        <f>J77/$M$11</f>
        <v>2361.4665909090909</v>
      </c>
      <c r="N77" s="199">
        <f>J77/$N$11</f>
        <v>62.972442424242423</v>
      </c>
    </row>
    <row r="78" spans="1:14">
      <c r="A78" s="289"/>
      <c r="B78" s="288">
        <v>46</v>
      </c>
      <c r="C78" s="282">
        <v>71243</v>
      </c>
      <c r="D78" s="280">
        <f>IF($I$2*C78&gt;$I$4,$I$4,IF($I$2*C78&lt;$I$3,$I$3,$I$2*C78))</f>
        <v>6663</v>
      </c>
      <c r="E78" s="197">
        <f>C78+D78</f>
        <v>77906</v>
      </c>
      <c r="F78" s="197">
        <f>ROUND(E78*$E$3,0)</f>
        <v>16049</v>
      </c>
      <c r="G78" s="197">
        <f>ROUND(IF(E78&gt;$L$6,$N$6*(E78-$L$6)+$N$5*($L$6-$L$5)+$N$4*($L$5-$L$2),IF($L$6&gt;E78&gt;$L$5,$N$5*(E78-$L$5)+$N$4*($L$5-$L$2),0)),0)</f>
        <v>9560</v>
      </c>
      <c r="H78" s="197">
        <f>E78/100*0.5</f>
        <v>389.53</v>
      </c>
      <c r="I78" s="197">
        <f>F78+G78+H78</f>
        <v>25998.53</v>
      </c>
      <c r="J78" s="197">
        <f>I78+E78</f>
        <v>103904.53</v>
      </c>
      <c r="K78" s="197">
        <f>J78/$K$11</f>
        <v>8658.7108333333326</v>
      </c>
      <c r="L78" s="198">
        <f>J78/$L$11</f>
        <v>472.29331818181817</v>
      </c>
      <c r="M78" s="198">
        <f>J78/$M$11</f>
        <v>2361.4665909090909</v>
      </c>
      <c r="N78" s="199">
        <f>J78/$N$11</f>
        <v>62.972442424242423</v>
      </c>
    </row>
    <row r="79" spans="1:14">
      <c r="A79" s="290" t="s">
        <v>307</v>
      </c>
      <c r="B79" s="288">
        <v>45</v>
      </c>
      <c r="C79" s="282">
        <v>70206</v>
      </c>
      <c r="D79" s="280">
        <f>IF($I$2*C79&gt;$I$4,$I$4,IF($I$2*C79&lt;$I$3,$I$3,$I$2*C79))</f>
        <v>6663</v>
      </c>
      <c r="E79" s="197">
        <f>C79+D79</f>
        <v>76869</v>
      </c>
      <c r="F79" s="197">
        <f>ROUND(E79*$E$3,0)</f>
        <v>15835</v>
      </c>
      <c r="G79" s="197">
        <f>ROUND(IF(E79&gt;$L$6,$N$6*(E79-$L$6)+$N$5*($L$6-$L$5)+$N$4*($L$5-$L$2),IF($L$6&gt;E79&gt;$L$5,$N$5*(E79-$L$5)+$N$4*($L$5-$L$2),0)),0)</f>
        <v>9417</v>
      </c>
      <c r="H79" s="197">
        <f>E79/100*0.5</f>
        <v>384.345</v>
      </c>
      <c r="I79" s="197">
        <f>F79+G79+H79</f>
        <v>25636.345</v>
      </c>
      <c r="J79" s="197">
        <f>I79+E79</f>
        <v>102505.345</v>
      </c>
      <c r="K79" s="197">
        <f>J79/$K$11</f>
        <v>8542.1120833333334</v>
      </c>
      <c r="L79" s="198">
        <f>J79/$L$11</f>
        <v>465.93338636363637</v>
      </c>
      <c r="M79" s="198">
        <f>J79/$M$11</f>
        <v>2329.6669318181816</v>
      </c>
      <c r="N79" s="199">
        <f>J79/$N$11</f>
        <v>62.124451515151513</v>
      </c>
    </row>
    <row r="80" spans="1:14">
      <c r="A80" s="287"/>
      <c r="B80" s="288">
        <v>46</v>
      </c>
      <c r="C80" s="282">
        <v>73132</v>
      </c>
      <c r="D80" s="280">
        <f>IF($I$2*C80&gt;$I$4,$I$4,IF($I$2*C80&lt;$I$3,$I$3,$I$2*C80))</f>
        <v>6663</v>
      </c>
      <c r="E80" s="197">
        <f>C80+D80</f>
        <v>79795</v>
      </c>
      <c r="F80" s="197">
        <f>ROUND(E80*$E$3,0)</f>
        <v>16438</v>
      </c>
      <c r="G80" s="197">
        <f>ROUND(IF(E80&gt;$L$6,$N$6*(E80-$L$6)+$N$5*($L$6-$L$5)+$N$4*($L$5-$L$2),IF($L$6&gt;E80&gt;$L$5,$N$5*(E80-$L$5)+$N$4*($L$5-$L$2),0)),0)</f>
        <v>9820</v>
      </c>
      <c r="H80" s="197">
        <f>E80/100*0.5</f>
        <v>398.975</v>
      </c>
      <c r="I80" s="197">
        <f>F80+G80+H80</f>
        <v>26656.975</v>
      </c>
      <c r="J80" s="197">
        <f>I80+E80</f>
        <v>106451.975</v>
      </c>
      <c r="K80" s="197">
        <f>J80/$K$11</f>
        <v>8870.9979166666672</v>
      </c>
      <c r="L80" s="198">
        <f>J80/$L$11</f>
        <v>483.87261363636367</v>
      </c>
      <c r="M80" s="198">
        <f>J80/$M$11</f>
        <v>2419.3630681818181</v>
      </c>
      <c r="N80" s="199">
        <f>J80/$N$11</f>
        <v>64.516348484848493</v>
      </c>
    </row>
    <row r="81" spans="1:14">
      <c r="A81" s="287"/>
      <c r="B81" s="288">
        <v>47</v>
      </c>
      <c r="C81" s="282">
        <v>76707</v>
      </c>
      <c r="D81" s="280">
        <f>IF($I$2*C81&gt;$I$4,$I$4,IF($I$2*C81&lt;$I$3,$I$3,$I$2*C81))</f>
        <v>6663</v>
      </c>
      <c r="E81" s="197">
        <f>C81+D81</f>
        <v>83370</v>
      </c>
      <c r="F81" s="197">
        <f>ROUND(E81*$E$3,0)</f>
        <v>17174</v>
      </c>
      <c r="G81" s="197">
        <f>ROUND(IF(E81&gt;$L$6,$N$6*(E81-$L$6)+$N$5*($L$6-$L$5)+$N$4*($L$5-$L$2),IF($L$6&gt;E81&gt;$L$5,$N$5*(E81-$L$5)+$N$4*($L$5-$L$2),0)),0)</f>
        <v>10314</v>
      </c>
      <c r="H81" s="197">
        <f>E81/100*0.5</f>
        <v>416.85</v>
      </c>
      <c r="I81" s="197">
        <f>F81+G81+H81</f>
        <v>27904.85</v>
      </c>
      <c r="J81" s="197">
        <f>I81+E81</f>
        <v>111274.85</v>
      </c>
      <c r="K81" s="197">
        <f>J81/$K$11</f>
        <v>9272.9041666666672</v>
      </c>
      <c r="L81" s="198">
        <f>J81/$L$11</f>
        <v>505.79477272727274</v>
      </c>
      <c r="M81" s="198">
        <f>J81/$M$11</f>
        <v>2528.9738636363636</v>
      </c>
      <c r="N81" s="199">
        <f>J81/$N$11</f>
        <v>67.439303030303037</v>
      </c>
    </row>
    <row r="82" spans="1:14">
      <c r="A82" s="287"/>
      <c r="B82" s="288">
        <v>48</v>
      </c>
      <c r="C82" s="282">
        <v>80606</v>
      </c>
      <c r="D82" s="280">
        <f>IF($I$2*C82&gt;$I$4,$I$4,IF($I$2*C82&lt;$I$3,$I$3,$I$2*C82))</f>
        <v>6663</v>
      </c>
      <c r="E82" s="197">
        <f>C82+D82</f>
        <v>87269</v>
      </c>
      <c r="F82" s="197">
        <f>ROUND(E82*$E$3,0)</f>
        <v>17977</v>
      </c>
      <c r="G82" s="197">
        <f>ROUND(IF(E82&gt;$L$6,$N$6*(E82-$L$6)+$N$5*($L$6-$L$5)+$N$4*($L$5-$L$2),IF($L$6&gt;E82&gt;$L$5,$N$5*(E82-$L$5)+$N$4*($L$5-$L$2),0)),0)</f>
        <v>10852</v>
      </c>
      <c r="H82" s="197">
        <f>E82/100*0.5</f>
        <v>436.345</v>
      </c>
      <c r="I82" s="197">
        <f>F82+G82+H82</f>
        <v>29265.345</v>
      </c>
      <c r="J82" s="197">
        <f>I82+E82</f>
        <v>116534.345</v>
      </c>
      <c r="K82" s="197">
        <f>J82/$K$11</f>
        <v>9711.1954166666674</v>
      </c>
      <c r="L82" s="198">
        <f>J82/$L$11</f>
        <v>529.70156818181817</v>
      </c>
      <c r="M82" s="198">
        <f>J82/$M$11</f>
        <v>2648.5078409090911</v>
      </c>
      <c r="N82" s="199">
        <f>J82/$N$11</f>
        <v>70.62687575757576</v>
      </c>
    </row>
    <row r="83" spans="1:14">
      <c r="A83" s="287"/>
      <c r="B83" s="288">
        <v>49</v>
      </c>
      <c r="C83" s="282">
        <v>85333</v>
      </c>
      <c r="D83" s="280">
        <f>IF($I$2*C83&gt;$I$4,$I$4,IF($I$2*C83&lt;$I$3,$I$3,$I$2*C83))</f>
        <v>6663</v>
      </c>
      <c r="E83" s="197">
        <f>C83+D83</f>
        <v>91996</v>
      </c>
      <c r="F83" s="197">
        <f>ROUND(E83*$E$3,0)</f>
        <v>18951</v>
      </c>
      <c r="G83" s="197">
        <f>ROUND(IF(E83&gt;$L$6,$N$6*(E83-$L$6)+$N$5*($L$6-$L$5)+$N$4*($L$5-$L$2),IF($L$6&gt;E83&gt;$L$5,$N$5*(E83-$L$5)+$N$4*($L$5-$L$2),0)),0)</f>
        <v>11504</v>
      </c>
      <c r="H83" s="197">
        <f>E83/100*0.5</f>
        <v>459.98</v>
      </c>
      <c r="I83" s="197">
        <f>F83+G83+H83</f>
        <v>30914.98</v>
      </c>
      <c r="J83" s="197">
        <f>I83+E83</f>
        <v>122910.98</v>
      </c>
      <c r="K83" s="197">
        <f>J83/$K$11</f>
        <v>10242.581666666667</v>
      </c>
      <c r="L83" s="198">
        <f>J83/$L$11</f>
        <v>558.68627272727269</v>
      </c>
      <c r="M83" s="198">
        <f>J83/$M$11</f>
        <v>2793.4313636363636</v>
      </c>
      <c r="N83" s="199">
        <f>J83/$N$11</f>
        <v>74.491503030303022</v>
      </c>
    </row>
    <row r="84" spans="1:14">
      <c r="A84" s="289"/>
      <c r="B84" s="288">
        <v>50</v>
      </c>
      <c r="C84" s="282">
        <v>85333</v>
      </c>
      <c r="D84" s="280">
        <f>IF($I$2*C84&gt;$I$4,$I$4,IF($I$2*C84&lt;$I$3,$I$3,$I$2*C84))</f>
        <v>6663</v>
      </c>
      <c r="E84" s="197">
        <f>C84+D84</f>
        <v>91996</v>
      </c>
      <c r="F84" s="197">
        <f>ROUND(E84*$E$3,0)</f>
        <v>18951</v>
      </c>
      <c r="G84" s="197">
        <f>ROUND(IF(E84&gt;$L$6,$N$6*(E84-$L$6)+$N$5*($L$6-$L$5)+$N$4*($L$5-$L$2),IF($L$6&gt;E84&gt;$L$5,$N$5*(E84-$L$5)+$N$4*($L$5-$L$2),0)),0)</f>
        <v>11504</v>
      </c>
      <c r="H84" s="197">
        <f>E84/100*0.5</f>
        <v>459.98</v>
      </c>
      <c r="I84" s="197">
        <f>F84+G84+H84</f>
        <v>30914.98</v>
      </c>
      <c r="J84" s="197">
        <f>I84+E84</f>
        <v>122910.98</v>
      </c>
      <c r="K84" s="197">
        <f>J84/$K$11</f>
        <v>10242.581666666667</v>
      </c>
      <c r="L84" s="198">
        <f>J84/$L$11</f>
        <v>558.68627272727269</v>
      </c>
      <c r="M84" s="198">
        <f>J84/$M$11</f>
        <v>2793.4313636363636</v>
      </c>
      <c r="N84" s="199">
        <f>J84/$N$11</f>
        <v>74.491503030303022</v>
      </c>
    </row>
    <row r="85" spans="1:14">
      <c r="A85" s="290" t="s">
        <v>308</v>
      </c>
      <c r="B85" s="288">
        <v>49</v>
      </c>
      <c r="C85" s="282">
        <v>84507</v>
      </c>
      <c r="D85" s="280">
        <f>IF($I$2*C85&gt;$I$4,$I$4,IF($I$2*C85&lt;$I$3,$I$3,$I$2*C85))</f>
        <v>6663</v>
      </c>
      <c r="E85" s="197">
        <f>C85+D85</f>
        <v>91170</v>
      </c>
      <c r="F85" s="197">
        <f>ROUND(E85*$E$3,0)</f>
        <v>18781</v>
      </c>
      <c r="G85" s="197">
        <f>ROUND(IF(E85&gt;$L$6,$N$6*(E85-$L$6)+$N$5*($L$6-$L$5)+$N$4*($L$5-$L$2),IF($L$6&gt;E85&gt;$L$5,$N$5*(E85-$L$5)+$N$4*($L$5-$L$2),0)),0)</f>
        <v>11390</v>
      </c>
      <c r="H85" s="197">
        <f>E85/100*0.5</f>
        <v>455.85</v>
      </c>
      <c r="I85" s="197">
        <f>F85+G85+H85</f>
        <v>30626.85</v>
      </c>
      <c r="J85" s="197">
        <f>I85+E85</f>
        <v>121796.85</v>
      </c>
      <c r="K85" s="197">
        <f>J85/$K$11</f>
        <v>10149.737500000001</v>
      </c>
      <c r="L85" s="198">
        <f>J85/$L$11</f>
        <v>553.62204545454551</v>
      </c>
      <c r="M85" s="198">
        <f>J85/$M$11</f>
        <v>2768.1102272727276</v>
      </c>
      <c r="N85" s="199">
        <f>J85/$N$11</f>
        <v>73.816272727272732</v>
      </c>
    </row>
    <row r="86" spans="1:14">
      <c r="A86" s="287"/>
      <c r="B86" s="288">
        <v>50</v>
      </c>
      <c r="C86" s="282">
        <v>88563</v>
      </c>
      <c r="D86" s="280">
        <f>IF($I$2*C86&gt;$I$4,$I$4,IF($I$2*C86&lt;$I$3,$I$3,$I$2*C86))</f>
        <v>6663</v>
      </c>
      <c r="E86" s="197">
        <f>C86+D86</f>
        <v>95226</v>
      </c>
      <c r="F86" s="197">
        <f>ROUND(E86*$E$3,0)</f>
        <v>19617</v>
      </c>
      <c r="G86" s="197">
        <f>ROUND(IF(E86&gt;$L$6,$N$6*(E86-$L$6)+$N$5*($L$6-$L$5)+$N$4*($L$5-$L$2),IF($L$6&gt;E86&gt;$L$5,$N$5*(E86-$L$5)+$N$4*($L$5-$L$2),0)),0)</f>
        <v>11950</v>
      </c>
      <c r="H86" s="197">
        <f>E86/100*0.5</f>
        <v>476.13</v>
      </c>
      <c r="I86" s="197">
        <f>F86+G86+H86</f>
        <v>32043.13</v>
      </c>
      <c r="J86" s="197">
        <f>I86+E86</f>
        <v>127269.13</v>
      </c>
      <c r="K86" s="197">
        <f>J86/$K$11</f>
        <v>10605.760833333334</v>
      </c>
      <c r="L86" s="198">
        <f>J86/$L$11</f>
        <v>578.49604545454542</v>
      </c>
      <c r="M86" s="198">
        <f>J86/$M$11</f>
        <v>2892.4802272727275</v>
      </c>
      <c r="N86" s="199">
        <f>J86/$N$11</f>
        <v>77.132806060606057</v>
      </c>
    </row>
    <row r="87" spans="1:14">
      <c r="A87" s="287"/>
      <c r="B87" s="288">
        <v>51</v>
      </c>
      <c r="C87" s="282">
        <v>92814</v>
      </c>
      <c r="D87" s="280">
        <f>IF($I$2*C87&gt;$I$4,$I$4,IF($I$2*C87&lt;$I$3,$I$3,$I$2*C87))</f>
        <v>6663</v>
      </c>
      <c r="E87" s="197">
        <f>C87+D87</f>
        <v>99477</v>
      </c>
      <c r="F87" s="197">
        <f>ROUND(E87*$E$3,0)</f>
        <v>20492</v>
      </c>
      <c r="G87" s="197">
        <f>ROUND(IF(E87&gt;$L$6,$N$6*(E87-$L$6)+$N$5*($L$6-$L$5)+$N$4*($L$5-$L$2),IF($L$6&gt;E87&gt;$L$5,$N$5*(E87-$L$5)+$N$4*($L$5-$L$2),0)),0)</f>
        <v>12537</v>
      </c>
      <c r="H87" s="197">
        <f>E87/100*0.5</f>
        <v>497.385</v>
      </c>
      <c r="I87" s="197">
        <f>F87+G87+H87</f>
        <v>33526.385</v>
      </c>
      <c r="J87" s="197">
        <f>I87+E87</f>
        <v>133003.385</v>
      </c>
      <c r="K87" s="197">
        <f>J87/$K$11</f>
        <v>11083.615416666667</v>
      </c>
      <c r="L87" s="198">
        <f>J87/$L$11</f>
        <v>604.560840909091</v>
      </c>
      <c r="M87" s="198">
        <f>J87/$M$11</f>
        <v>3022.8042045454549</v>
      </c>
      <c r="N87" s="199">
        <f>J87/$N$11</f>
        <v>80.60811212121213</v>
      </c>
    </row>
    <row r="88" spans="1:14">
      <c r="A88" s="287"/>
      <c r="B88" s="288">
        <v>52</v>
      </c>
      <c r="C88" s="282">
        <v>97269</v>
      </c>
      <c r="D88" s="280">
        <f>IF($I$2*C88&gt;$I$4,$I$4,IF($I$2*C88&lt;$I$3,$I$3,$I$2*C88))</f>
        <v>6663</v>
      </c>
      <c r="E88" s="197">
        <f>C88+D88</f>
        <v>103932</v>
      </c>
      <c r="F88" s="197">
        <f>ROUND(E88*$E$3,0)</f>
        <v>21410</v>
      </c>
      <c r="G88" s="197">
        <f>ROUND(IF(E88&gt;$L$6,$N$6*(E88-$L$6)+$N$5*($L$6-$L$5)+$N$4*($L$5-$L$2),IF($L$6&gt;E88&gt;$L$5,$N$5*(E88-$L$5)+$N$4*($L$5-$L$2),0)),0)</f>
        <v>13151</v>
      </c>
      <c r="H88" s="197">
        <f>E88/100*0.5</f>
        <v>519.66</v>
      </c>
      <c r="I88" s="197">
        <f>F88+G88+H88</f>
        <v>35080.66</v>
      </c>
      <c r="J88" s="197">
        <f>I88+E88</f>
        <v>139012.66</v>
      </c>
      <c r="K88" s="197">
        <f>J88/$K$11</f>
        <v>11584.388333333334</v>
      </c>
      <c r="L88" s="198">
        <f>J88/$L$11</f>
        <v>631.87572727272732</v>
      </c>
      <c r="M88" s="198">
        <f>J88/$M$11</f>
        <v>3159.3786363636364</v>
      </c>
      <c r="N88" s="199">
        <f>J88/$N$11</f>
        <v>84.250096969696969</v>
      </c>
    </row>
    <row r="89" spans="1:14">
      <c r="A89" s="287"/>
      <c r="B89" s="288">
        <v>53</v>
      </c>
      <c r="C89" s="282">
        <v>102506</v>
      </c>
      <c r="D89" s="280">
        <f>IF($I$2*C89&gt;$I$4,$I$4,IF($I$2*C89&lt;$I$3,$I$3,$I$2*C89))</f>
        <v>6663</v>
      </c>
      <c r="E89" s="197">
        <f>C89+D89</f>
        <v>109169</v>
      </c>
      <c r="F89" s="197">
        <f>ROUND(E89*$E$3,0)</f>
        <v>22489</v>
      </c>
      <c r="G89" s="197">
        <f>ROUND(IF(E89&gt;$L$6,$N$6*(E89-$L$6)+$N$5*($L$6-$L$5)+$N$4*($L$5-$L$2),IF($L$6&gt;E89&gt;$L$5,$N$5*(E89-$L$5)+$N$4*($L$5-$L$2),0)),0)</f>
        <v>13874</v>
      </c>
      <c r="H89" s="197">
        <f>E89/100*0.5</f>
        <v>545.845</v>
      </c>
      <c r="I89" s="197">
        <f>F89+G89+H89</f>
        <v>36908.845</v>
      </c>
      <c r="J89" s="197">
        <f>I89+E89</f>
        <v>146077.845</v>
      </c>
      <c r="K89" s="197">
        <f>J89/$K$11</f>
        <v>12173.15375</v>
      </c>
      <c r="L89" s="198">
        <f>J89/$L$11</f>
        <v>663.9902045454545</v>
      </c>
      <c r="M89" s="198">
        <f>J89/$M$11</f>
        <v>3319.9510227272726</v>
      </c>
      <c r="N89" s="199">
        <f>J89/$N$11</f>
        <v>88.532027272727277</v>
      </c>
    </row>
    <row r="90" spans="1:14" ht="13.5" thickBot="1">
      <c r="A90" s="291"/>
      <c r="B90" s="292">
        <v>54</v>
      </c>
      <c r="C90" s="293">
        <v>102506</v>
      </c>
      <c r="D90" s="294">
        <f>IF($I$2*C90&gt;$I$4,$I$4,IF($I$2*C90&lt;$I$3,$I$3,$I$2*C90))</f>
        <v>6663</v>
      </c>
      <c r="E90" s="295">
        <f>C90+D90</f>
        <v>109169</v>
      </c>
      <c r="F90" s="295">
        <f>ROUND(E90*$E$3,0)</f>
        <v>22489</v>
      </c>
      <c r="G90" s="295">
        <f>ROUND(IF(E90&gt;$L$6,$N$6*(E90-$L$6)+$N$5*($L$6-$L$5)+$N$4*($L$5-$L$2),IF($L$6&gt;E90&gt;$L$5,$N$5*(E90-$L$5)+$N$4*($L$5-$L$2),0)),0)</f>
        <v>13874</v>
      </c>
      <c r="H90" s="295">
        <f>E90/100*0.5</f>
        <v>545.845</v>
      </c>
      <c r="I90" s="295">
        <f>F90+G90+H90</f>
        <v>36908.845</v>
      </c>
      <c r="J90" s="295">
        <f>I90+E90</f>
        <v>146077.845</v>
      </c>
      <c r="K90" s="295">
        <f>J90/$K$11</f>
        <v>12173.15375</v>
      </c>
      <c r="L90" s="296">
        <f>J90/$L$11</f>
        <v>663.9902045454545</v>
      </c>
      <c r="M90" s="296">
        <f>J90/$M$11</f>
        <v>3319.9510227272726</v>
      </c>
      <c r="N90" s="297">
        <f>J90/$N$11</f>
        <v>88.532027272727277</v>
      </c>
    </row>
  </sheetData>
  <mergeCells count="2">
    <mergeCell ref="A8:J8"/>
    <mergeCell ref="F10:I10"/>
  </mergeCells>
  <pageMargins left="0.7" right="0.7" top="0.75" bottom="0.75" header="0.3" footer="0.3"/>
  <headerFooter scaleWithDoc="1" alignWithMargins="0" differentFirst="0" differentOddEven="0"/>
  <extLst/>
</worksheet>
</file>

<file path=xl/worksheets/sheet1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00B0F0"/>
    <pageSetUpPr fitToPage="1"/>
  </sheetPr>
  <dimension ref="A1:P48"/>
  <sheetViews>
    <sheetView topLeftCell="A10" zoomScale="90" view="normal" workbookViewId="0">
      <selection pane="topLeft" activeCell="C44" sqref="C44"/>
    </sheetView>
  </sheetViews>
  <sheetFormatPr defaultRowHeight="15"/>
  <cols>
    <col min="1" max="1" width="70.75390625" customWidth="1"/>
    <col min="2" max="2" width="2.75390625" customWidth="1"/>
    <col min="3" max="8" width="14.375" customWidth="1"/>
    <col min="9" max="9" width="12.875" customWidth="1"/>
    <col min="10" max="15" width="10.75390625" customWidth="1"/>
    <col min="16" max="16" width="10.125" customWidth="1"/>
  </cols>
  <sheetData>
    <row r="1" spans="1:4" ht="30" customHeight="1" thickBot="1">
      <c r="A1" s="16" t="s">
        <v>4</v>
      </c>
      <c r="B1" s="17"/>
      <c r="C1" s="311" t="s">
        <v>12</v>
      </c>
      <c r="D1" s="312"/>
    </row>
    <row r="2" spans="1:3">
      <c r="A2" s="11"/>
      <c r="B2" s="11"/>
      <c r="C2" s="11"/>
    </row>
    <row r="3" spans="1:3">
      <c r="A3" s="12" t="s">
        <v>0</v>
      </c>
      <c r="B3" s="11"/>
      <c r="C3" s="11"/>
    </row>
    <row r="4" spans="1:3">
      <c r="A4" s="13" t="s">
        <v>54</v>
      </c>
      <c r="B4" s="11"/>
      <c r="C4" s="11"/>
    </row>
    <row r="5" spans="1:15">
      <c r="A5" s="72"/>
      <c r="B5" s="11"/>
      <c r="J5" s="3" t="s">
        <v>42</v>
      </c>
      <c r="K5" s="3"/>
      <c r="L5" s="3"/>
      <c r="M5" s="3"/>
      <c r="N5" s="3"/>
      <c r="O5" s="3"/>
    </row>
    <row r="6" spans="3:15" ht="16.5" customHeight="1" thickBot="1">
      <c r="C6" s="73" t="str">
        <f>J6</f>
        <v>2021/22</v>
      </c>
      <c r="D6" s="73" t="str">
        <f>K6</f>
        <v>2022/23</v>
      </c>
      <c r="E6" s="73" t="str">
        <f>L6</f>
        <v>2023/24</v>
      </c>
      <c r="F6" s="73" t="str">
        <f>M6</f>
        <v>2024/25</v>
      </c>
      <c r="G6" s="73" t="str">
        <f>N6</f>
        <v>2025/26</v>
      </c>
      <c r="H6" s="73" t="e">
        <f>O6</f>
        <v>#REF!</v>
      </c>
      <c r="J6" s="68" t="str">
        <f>'Ideal Case'!D9</f>
        <v>2021/22</v>
      </c>
      <c r="K6" s="68" t="str">
        <f>'Ideal Case'!E9</f>
        <v>2022/23</v>
      </c>
      <c r="L6" s="68" t="str">
        <f>'Ideal Case'!F9</f>
        <v>2023/24</v>
      </c>
      <c r="M6" s="68" t="str">
        <f>'Ideal Case'!G9</f>
        <v>2024/25</v>
      </c>
      <c r="N6" s="68" t="str">
        <f>'Ideal Case'!H9</f>
        <v>2025/26</v>
      </c>
      <c r="O6" s="68" t="e">
        <f>'Ideal Case'!#REF!</f>
        <v>#REF!</v>
      </c>
    </row>
    <row r="7" spans="1:4">
      <c r="A7" s="1" t="s">
        <v>13</v>
      </c>
      <c r="C7" s="14" t="s">
        <v>9</v>
      </c>
      <c r="D7" s="15" t="s">
        <v>10</v>
      </c>
    </row>
    <row r="8" spans="1:15">
      <c r="A8" s="4" t="s">
        <v>30</v>
      </c>
      <c r="C8" s="18">
        <v>0</v>
      </c>
      <c r="D8" s="18">
        <f>C8</f>
        <v>0</v>
      </c>
      <c r="E8" s="18">
        <f>D8</f>
        <v>0</v>
      </c>
      <c r="F8" s="18">
        <f>E8</f>
        <v>0</v>
      </c>
      <c r="G8" s="18">
        <f>F8</f>
        <v>0</v>
      </c>
      <c r="H8" s="18">
        <f>G8</f>
        <v>0</v>
      </c>
      <c r="J8" s="35">
        <f>IFERROR(VLOOKUP($A8,#REF!,2,FALSE),0)*C8</f>
        <v>0</v>
      </c>
      <c r="K8" s="35" t="e">
        <f>IFERROR(VLOOKUP($A8,#REF!,2,FALSE),0)*D8*payinf</f>
        <v>#REF!</v>
      </c>
      <c r="L8" s="35" t="e">
        <f>IFERROR(VLOOKUP($A8,#REF!,2,FALSE),0)*E8*payinf^2</f>
        <v>#REF!</v>
      </c>
      <c r="M8" s="35" t="e">
        <f>IFERROR(VLOOKUP($A8,#REF!,2,FALSE),0)*F8*payinf^3</f>
        <v>#REF!</v>
      </c>
      <c r="N8" s="35" t="e">
        <f>IFERROR(VLOOKUP($A8,#REF!,2,FALSE),0)*G8*payinf^4</f>
        <v>#REF!</v>
      </c>
      <c r="O8" s="35" t="e">
        <f>IFERROR(VLOOKUP($A8,#REF!,2,FALSE),0)*H8*payinf^5</f>
        <v>#REF!</v>
      </c>
    </row>
    <row r="9" spans="1:15">
      <c r="A9" s="4" t="s">
        <v>31</v>
      </c>
      <c r="C9" s="18">
        <v>0</v>
      </c>
      <c r="D9" s="18">
        <f>C9</f>
        <v>0</v>
      </c>
      <c r="E9" s="18">
        <f>D9</f>
        <v>0</v>
      </c>
      <c r="F9" s="18">
        <f>E9</f>
        <v>0</v>
      </c>
      <c r="G9" s="18">
        <f>F9</f>
        <v>0</v>
      </c>
      <c r="H9" s="18">
        <f>G9</f>
        <v>0</v>
      </c>
      <c r="J9" s="35">
        <f>IFERROR(VLOOKUP($A9,#REF!,2,FALSE),0)*C9</f>
        <v>0</v>
      </c>
      <c r="K9" s="35" t="e">
        <f>IFERROR(VLOOKUP($A9,#REF!,2,FALSE),0)*D9*payinf</f>
        <v>#REF!</v>
      </c>
      <c r="L9" s="35" t="e">
        <f>IFERROR(VLOOKUP($A9,#REF!,2,FALSE),0)*E9*payinf^2</f>
        <v>#REF!</v>
      </c>
      <c r="M9" s="35" t="e">
        <f>IFERROR(VLOOKUP($A9,#REF!,2,FALSE),0)*F9*payinf^3</f>
        <v>#REF!</v>
      </c>
      <c r="N9" s="35" t="e">
        <f>IFERROR(VLOOKUP($A9,#REF!,2,FALSE),0)*G9*payinf^4</f>
        <v>#REF!</v>
      </c>
      <c r="O9" s="35" t="e">
        <f>IFERROR(VLOOKUP($A9,#REF!,2,FALSE),0)*H9*payinf^5</f>
        <v>#REF!</v>
      </c>
    </row>
    <row r="10" spans="10:13" ht="19.9" customHeight="1">
      <c r="J10" s="34"/>
      <c r="L10" s="34"/>
      <c r="M10" s="34"/>
    </row>
    <row r="11" spans="1:13" ht="30">
      <c r="A11" s="1" t="s">
        <v>14</v>
      </c>
      <c r="C11" s="7" t="s">
        <v>5</v>
      </c>
      <c r="D11" s="7" t="s">
        <v>24</v>
      </c>
      <c r="E11" s="7" t="s">
        <v>6</v>
      </c>
      <c r="F11" s="7" t="s">
        <v>29</v>
      </c>
      <c r="G11" s="20"/>
      <c r="H11" s="19"/>
      <c r="J11" s="34"/>
      <c r="L11" s="34"/>
      <c r="M11" s="34"/>
    </row>
    <row r="12" spans="4:13" ht="18" customHeight="1">
      <c r="D12" s="2"/>
      <c r="E12" s="2"/>
      <c r="F12" s="2"/>
      <c r="G12" s="2"/>
      <c r="H12" s="9"/>
      <c r="J12" s="34"/>
      <c r="L12" s="34"/>
      <c r="M12" s="34"/>
    </row>
    <row r="13" spans="8:13" ht="7.5" customHeight="1">
      <c r="H13" s="8"/>
      <c r="J13" s="34"/>
      <c r="L13" s="34"/>
      <c r="M13" s="34"/>
    </row>
    <row r="14" spans="1:15">
      <c r="A14" s="4" t="s">
        <v>30</v>
      </c>
      <c r="C14" s="5"/>
      <c r="D14" s="5"/>
      <c r="E14" s="5"/>
      <c r="F14" s="2" t="e">
        <f>C14*lecmul+D14*tutmul+E14*othmul</f>
        <v>#REF!</v>
      </c>
      <c r="G14" s="8"/>
      <c r="H14" s="8"/>
      <c r="J14" s="35" t="e">
        <f>IFERROR(VLOOKUP(A14,#REF!,3,FALSE),0)*F14</f>
        <v>#REF!</v>
      </c>
      <c r="K14" s="34" t="e">
        <f>J14*payinf</f>
        <v>#REF!</v>
      </c>
      <c r="L14" s="34" t="e">
        <f>K14*payinf</f>
        <v>#REF!</v>
      </c>
      <c r="M14" s="34" t="e">
        <f>L14*payinf</f>
        <v>#REF!</v>
      </c>
      <c r="N14" s="34" t="e">
        <f>M14*payinf</f>
        <v>#REF!</v>
      </c>
      <c r="O14" s="34" t="e">
        <f>N14*payinf</f>
        <v>#REF!</v>
      </c>
    </row>
    <row r="15" spans="1:15">
      <c r="A15" s="4"/>
      <c r="C15" s="5"/>
      <c r="D15" s="5"/>
      <c r="E15" s="5"/>
      <c r="F15" s="2" t="e">
        <f>C15*lecmul+D15*tutmul+E15*othmul</f>
        <v>#REF!</v>
      </c>
      <c r="G15" s="8"/>
      <c r="H15" s="8"/>
      <c r="J15" s="35" t="e">
        <f>IFERROR(VLOOKUP(A15,#REF!,3,FALSE),0)*F15</f>
        <v>#REF!</v>
      </c>
      <c r="K15" s="34" t="e">
        <f>J15*payinf</f>
        <v>#REF!</v>
      </c>
      <c r="L15" s="34" t="e">
        <f>K15*payinf</f>
        <v>#REF!</v>
      </c>
      <c r="M15" s="34" t="e">
        <f>L15*payinf</f>
        <v>#REF!</v>
      </c>
      <c r="N15" s="34" t="e">
        <f>M15*payinf</f>
        <v>#REF!</v>
      </c>
      <c r="O15" s="34" t="e">
        <f>N15*payinf</f>
        <v>#REF!</v>
      </c>
    </row>
    <row r="16" spans="1:15">
      <c r="A16" s="4"/>
      <c r="C16" s="5"/>
      <c r="D16" s="5"/>
      <c r="E16" s="5"/>
      <c r="F16" s="2" t="e">
        <f>C16*lecmul+D16*tutmul+E16*othmul</f>
        <v>#REF!</v>
      </c>
      <c r="G16" s="8"/>
      <c r="H16" s="8"/>
      <c r="J16" s="35" t="e">
        <f>IFERROR(VLOOKUP(A16,#REF!,3,FALSE),0)*F16</f>
        <v>#REF!</v>
      </c>
      <c r="K16" s="34" t="e">
        <f>J16*payinf</f>
        <v>#REF!</v>
      </c>
      <c r="L16" s="34" t="e">
        <f>K16*payinf</f>
        <v>#REF!</v>
      </c>
      <c r="M16" s="34" t="e">
        <f>L16*payinf</f>
        <v>#REF!</v>
      </c>
      <c r="N16" s="34" t="e">
        <f>M16*payinf</f>
        <v>#REF!</v>
      </c>
      <c r="O16" s="34" t="e">
        <f>N16*payinf</f>
        <v>#REF!</v>
      </c>
    </row>
    <row r="17" spans="1:15">
      <c r="A17" s="4"/>
      <c r="C17" s="5"/>
      <c r="D17" s="5"/>
      <c r="E17" s="5"/>
      <c r="F17" s="2" t="e">
        <f>C17*lecmul+D17*tutmul+E17*othmul</f>
        <v>#REF!</v>
      </c>
      <c r="G17" s="8"/>
      <c r="H17" s="8"/>
      <c r="J17" s="35" t="e">
        <f>IFERROR(VLOOKUP(A17,#REF!,3,FALSE),0)*F17</f>
        <v>#REF!</v>
      </c>
      <c r="K17" s="34" t="e">
        <f>J17*payinf</f>
        <v>#REF!</v>
      </c>
      <c r="L17" s="34" t="e">
        <f>K17*payinf</f>
        <v>#REF!</v>
      </c>
      <c r="M17" s="34" t="e">
        <f>L17*payinf</f>
        <v>#REF!</v>
      </c>
      <c r="N17" s="34" t="e">
        <f>M17*payinf</f>
        <v>#REF!</v>
      </c>
      <c r="O17" s="34" t="e">
        <f>N17*payinf</f>
        <v>#REF!</v>
      </c>
    </row>
    <row r="18" spans="1:15">
      <c r="A18" s="4"/>
      <c r="C18" s="5"/>
      <c r="D18" s="5"/>
      <c r="E18" s="5"/>
      <c r="F18" s="2" t="e">
        <f>C18*lecmul+D18*tutmul+E18*othmul</f>
        <v>#REF!</v>
      </c>
      <c r="G18" s="8"/>
      <c r="H18" s="8"/>
      <c r="J18" s="35" t="e">
        <f>IFERROR(VLOOKUP(A18,#REF!,3,FALSE),0)*F18</f>
        <v>#REF!</v>
      </c>
      <c r="K18" s="34" t="e">
        <f>J18*payinf</f>
        <v>#REF!</v>
      </c>
      <c r="L18" s="34" t="e">
        <f>K18*payinf</f>
        <v>#REF!</v>
      </c>
      <c r="M18" s="34" t="e">
        <f>L18*payinf</f>
        <v>#REF!</v>
      </c>
      <c r="N18" s="34" t="e">
        <f>M18*payinf</f>
        <v>#REF!</v>
      </c>
      <c r="O18" s="34" t="e">
        <f>N18*payinf</f>
        <v>#REF!</v>
      </c>
    </row>
    <row r="19" spans="1:15">
      <c r="A19" s="4"/>
      <c r="C19" s="5"/>
      <c r="D19" s="5"/>
      <c r="E19" s="5"/>
      <c r="F19" s="2" t="e">
        <f>C19*lecmul+D19*tutmul+E19*othmul</f>
        <v>#REF!</v>
      </c>
      <c r="G19" s="8"/>
      <c r="H19" s="8"/>
      <c r="J19" s="35" t="e">
        <f>IFERROR(VLOOKUP(A19,#REF!,3,FALSE),0)*F19</f>
        <v>#REF!</v>
      </c>
      <c r="K19" s="34" t="e">
        <f>J19*payinf</f>
        <v>#REF!</v>
      </c>
      <c r="L19" s="34" t="e">
        <f>K19*payinf</f>
        <v>#REF!</v>
      </c>
      <c r="M19" s="34" t="e">
        <f>L19*payinf</f>
        <v>#REF!</v>
      </c>
      <c r="N19" s="34" t="e">
        <f>M19*payinf</f>
        <v>#REF!</v>
      </c>
      <c r="O19" s="34" t="e">
        <f>N19*payinf</f>
        <v>#REF!</v>
      </c>
    </row>
    <row r="20" spans="8:13" ht="19.9" customHeight="1">
      <c r="H20" s="8"/>
      <c r="K20" s="34"/>
      <c r="L20" s="34"/>
      <c r="M20" s="34"/>
    </row>
    <row r="21" spans="8:13" ht="19.9" customHeight="1">
      <c r="H21" s="8"/>
      <c r="K21" s="34"/>
      <c r="L21" s="34"/>
      <c r="M21" s="34"/>
    </row>
    <row r="22" spans="1:15" ht="30">
      <c r="A22" s="1" t="s">
        <v>11</v>
      </c>
      <c r="C22" s="7" t="s">
        <v>18</v>
      </c>
      <c r="D22" s="7" t="s">
        <v>19</v>
      </c>
      <c r="E22" s="7" t="s">
        <v>20</v>
      </c>
      <c r="F22" s="7" t="s">
        <v>22</v>
      </c>
      <c r="G22" s="7" t="s">
        <v>21</v>
      </c>
      <c r="H22" s="7" t="s">
        <v>44</v>
      </c>
      <c r="I22" s="7"/>
      <c r="J22" s="64"/>
      <c r="K22" s="64"/>
      <c r="L22" s="64"/>
      <c r="M22" s="64"/>
      <c r="N22" s="64"/>
      <c r="O22" s="64"/>
    </row>
    <row r="23" spans="3:15" ht="13.9" customHeight="1">
      <c r="C23" s="2" t="s">
        <v>23</v>
      </c>
      <c r="D23" s="2" t="s">
        <v>23</v>
      </c>
      <c r="E23" s="2" t="s">
        <v>23</v>
      </c>
      <c r="F23" s="2" t="s">
        <v>23</v>
      </c>
      <c r="G23" s="2" t="s">
        <v>23</v>
      </c>
      <c r="H23" s="2" t="s">
        <v>45</v>
      </c>
      <c r="J23" s="33"/>
      <c r="K23" s="33"/>
      <c r="L23" s="33"/>
      <c r="M23" s="33"/>
      <c r="N23" s="33"/>
      <c r="O23" s="33"/>
    </row>
    <row r="24" spans="11:13" ht="7.5" customHeight="1">
      <c r="K24" s="34"/>
      <c r="L24" s="34"/>
      <c r="M24" s="34"/>
    </row>
    <row r="25" spans="1:15">
      <c r="A25" s="4" t="s">
        <v>30</v>
      </c>
      <c r="C25" s="5"/>
      <c r="D25" s="5"/>
      <c r="E25" s="5"/>
      <c r="F25" s="5"/>
      <c r="G25" s="5"/>
      <c r="H25" s="2">
        <f>SUM(C25:G25)</f>
        <v>0</v>
      </c>
      <c r="J25" s="35" t="e">
        <f>IFERROR(VLOOKUP($A25,#REF!,3,FALSE),0)*$H25*C$48</f>
        <v>#REF!</v>
      </c>
      <c r="K25" s="35" t="e">
        <f>IFERROR(VLOOKUP($A25,#REF!,3,FALSE),0)*$H25*D$48*payinf</f>
        <v>#REF!</v>
      </c>
      <c r="L25" s="35" t="e">
        <f>IFERROR(VLOOKUP($A25,#REF!,3,FALSE),0)*$H25*E$48*payinf^2</f>
        <v>#REF!</v>
      </c>
      <c r="M25" s="35" t="e">
        <f>IFERROR(VLOOKUP($A25,#REF!,3,FALSE),0)*$H25*F$48*payinf^3</f>
        <v>#REF!</v>
      </c>
      <c r="N25" s="35" t="e">
        <f>IFERROR(VLOOKUP($A25,#REF!,3,FALSE),0)*$H25*G$48*payinf^4</f>
        <v>#REF!</v>
      </c>
      <c r="O25" s="35" t="e">
        <f>IFERROR(VLOOKUP($A25,#REF!,3,FALSE),0)*$H25*H$48*payinf^5</f>
        <v>#REF!</v>
      </c>
    </row>
    <row r="26" spans="1:15">
      <c r="A26" s="4" t="s">
        <v>31</v>
      </c>
      <c r="C26" s="5"/>
      <c r="D26" s="5"/>
      <c r="E26" s="5"/>
      <c r="F26" s="5"/>
      <c r="G26" s="5"/>
      <c r="H26" s="2">
        <f>SUM(C26:G26)</f>
        <v>0</v>
      </c>
      <c r="J26" s="35" t="e">
        <f>IFERROR(VLOOKUP($A26,#REF!,3,FALSE),0)*$H26*C$48</f>
        <v>#REF!</v>
      </c>
      <c r="K26" s="35" t="e">
        <f>IFERROR(VLOOKUP($A26,#REF!,3,FALSE),0)*$H26*D$48*payinf</f>
        <v>#REF!</v>
      </c>
      <c r="L26" s="35" t="e">
        <f>IFERROR(VLOOKUP($A26,#REF!,3,FALSE),0)*$H26*E$48*payinf^2</f>
        <v>#REF!</v>
      </c>
      <c r="M26" s="35" t="e">
        <f>IFERROR(VLOOKUP($A26,#REF!,3,FALSE),0)*$H26*F$48*payinf^3</f>
        <v>#REF!</v>
      </c>
      <c r="N26" s="35" t="e">
        <f>IFERROR(VLOOKUP($A26,#REF!,3,FALSE),0)*$H26*G$48*payinf^4</f>
        <v>#REF!</v>
      </c>
      <c r="O26" s="35" t="e">
        <f>IFERROR(VLOOKUP($A26,#REF!,3,FALSE),0)*$H26*H$48*payinf^5</f>
        <v>#REF!</v>
      </c>
    </row>
    <row r="27" spans="1:15">
      <c r="A27" s="4"/>
      <c r="C27" s="5"/>
      <c r="D27" s="5"/>
      <c r="E27" s="5"/>
      <c r="F27" s="5"/>
      <c r="G27" s="5"/>
      <c r="H27" s="2">
        <f>SUM(C27:G27)</f>
        <v>0</v>
      </c>
      <c r="J27" s="35" t="e">
        <f>IFERROR(VLOOKUP($A27,#REF!,3,FALSE),0)*$H27*C$48</f>
        <v>#REF!</v>
      </c>
      <c r="K27" s="35" t="e">
        <f>IFERROR(VLOOKUP($A27,#REF!,3,FALSE),0)*$H27*D$48*payinf</f>
        <v>#REF!</v>
      </c>
      <c r="L27" s="35" t="e">
        <f>IFERROR(VLOOKUP($A27,#REF!,3,FALSE),0)*$H27*E$48*payinf^2</f>
        <v>#REF!</v>
      </c>
      <c r="M27" s="35" t="e">
        <f>IFERROR(VLOOKUP($A27,#REF!,3,FALSE),0)*$H27*F$48*payinf^3</f>
        <v>#REF!</v>
      </c>
      <c r="N27" s="35" t="e">
        <f>IFERROR(VLOOKUP($A27,#REF!,3,FALSE),0)*$H27*G$48*payinf^4</f>
        <v>#REF!</v>
      </c>
      <c r="O27" s="35" t="e">
        <f>IFERROR(VLOOKUP($A27,#REF!,3,FALSE),0)*$H27*H$48*payinf^5</f>
        <v>#REF!</v>
      </c>
    </row>
    <row r="28" spans="1:15">
      <c r="A28" s="4"/>
      <c r="C28" s="5"/>
      <c r="D28" s="5"/>
      <c r="E28" s="5"/>
      <c r="F28" s="5"/>
      <c r="G28" s="5"/>
      <c r="H28" s="2">
        <f>SUM(C28:G28)</f>
        <v>0</v>
      </c>
      <c r="J28" s="35" t="e">
        <f>IFERROR(VLOOKUP($A28,#REF!,3,FALSE),0)*$H28*C$48</f>
        <v>#REF!</v>
      </c>
      <c r="K28" s="35" t="e">
        <f>IFERROR(VLOOKUP($A28,#REF!,3,FALSE),0)*$H28*D$48*payinf</f>
        <v>#REF!</v>
      </c>
      <c r="L28" s="35" t="e">
        <f>IFERROR(VLOOKUP($A28,#REF!,3,FALSE),0)*$H28*E$48*payinf^2</f>
        <v>#REF!</v>
      </c>
      <c r="M28" s="35" t="e">
        <f>IFERROR(VLOOKUP($A28,#REF!,3,FALSE),0)*$H28*F$48*payinf^3</f>
        <v>#REF!</v>
      </c>
      <c r="N28" s="35" t="e">
        <f>IFERROR(VLOOKUP($A28,#REF!,3,FALSE),0)*$H28*G$48*payinf^4</f>
        <v>#REF!</v>
      </c>
      <c r="O28" s="35" t="e">
        <f>IFERROR(VLOOKUP($A28,#REF!,3,FALSE),0)*$H28*H$48*payinf^5</f>
        <v>#REF!</v>
      </c>
    </row>
    <row r="29" spans="1:15">
      <c r="A29" s="4"/>
      <c r="C29" s="5"/>
      <c r="D29" s="5"/>
      <c r="E29" s="5"/>
      <c r="F29" s="5"/>
      <c r="G29" s="5"/>
      <c r="H29" s="2">
        <f>SUM(C29:G29)</f>
        <v>0</v>
      </c>
      <c r="J29" s="35" t="e">
        <f>IFERROR(VLOOKUP($A29,#REF!,3,FALSE),0)*$H29*C$48</f>
        <v>#REF!</v>
      </c>
      <c r="K29" s="35" t="e">
        <f>IFERROR(VLOOKUP($A29,#REF!,3,FALSE),0)*$H29*D$48*payinf</f>
        <v>#REF!</v>
      </c>
      <c r="L29" s="35" t="e">
        <f>IFERROR(VLOOKUP($A29,#REF!,3,FALSE),0)*$H29*E$48*payinf^2</f>
        <v>#REF!</v>
      </c>
      <c r="M29" s="35" t="e">
        <f>IFERROR(VLOOKUP($A29,#REF!,3,FALSE),0)*$H29*F$48*payinf^3</f>
        <v>#REF!</v>
      </c>
      <c r="N29" s="35" t="e">
        <f>IFERROR(VLOOKUP($A29,#REF!,3,FALSE),0)*$H29*G$48*payinf^4</f>
        <v>#REF!</v>
      </c>
      <c r="O29" s="35" t="e">
        <f>IFERROR(VLOOKUP($A29,#REF!,3,FALSE),0)*$H29*H$48*payinf^5</f>
        <v>#REF!</v>
      </c>
    </row>
    <row r="30" spans="1:15">
      <c r="A30" s="4"/>
      <c r="C30" s="5"/>
      <c r="D30" s="5"/>
      <c r="E30" s="5"/>
      <c r="F30" s="5"/>
      <c r="G30" s="5"/>
      <c r="H30" s="2">
        <f>SUM(C30:G30)</f>
        <v>0</v>
      </c>
      <c r="J30" s="35" t="e">
        <f>IFERROR(VLOOKUP($A30,#REF!,3,FALSE),0)*$H30*C$48</f>
        <v>#REF!</v>
      </c>
      <c r="K30" s="35" t="e">
        <f>IFERROR(VLOOKUP($A30,#REF!,3,FALSE),0)*$H30*D$48*payinf</f>
        <v>#REF!</v>
      </c>
      <c r="L30" s="35" t="e">
        <f>IFERROR(VLOOKUP($A30,#REF!,3,FALSE),0)*$H30*E$48*payinf^2</f>
        <v>#REF!</v>
      </c>
      <c r="M30" s="35" t="e">
        <f>IFERROR(VLOOKUP($A30,#REF!,3,FALSE),0)*$H30*F$48*payinf^3</f>
        <v>#REF!</v>
      </c>
      <c r="N30" s="35" t="e">
        <f>IFERROR(VLOOKUP($A30,#REF!,3,FALSE),0)*$H30*G$48*payinf^4</f>
        <v>#REF!</v>
      </c>
      <c r="O30" s="35" t="e">
        <f>IFERROR(VLOOKUP($A30,#REF!,3,FALSE),0)*$H30*H$48*payinf^5</f>
        <v>#REF!</v>
      </c>
    </row>
    <row r="31" spans="1:15">
      <c r="A31" s="4"/>
      <c r="C31" s="5"/>
      <c r="D31" s="5"/>
      <c r="E31" s="5"/>
      <c r="F31" s="5"/>
      <c r="G31" s="5"/>
      <c r="H31" s="2">
        <f>SUM(C31:G31)</f>
        <v>0</v>
      </c>
      <c r="J31" s="35" t="e">
        <f>IFERROR(VLOOKUP($A31,#REF!,3,FALSE),0)*$H31*C$48</f>
        <v>#REF!</v>
      </c>
      <c r="K31" s="35" t="e">
        <f>IFERROR(VLOOKUP($A31,#REF!,3,FALSE),0)*$H31*D$48*payinf</f>
        <v>#REF!</v>
      </c>
      <c r="L31" s="35" t="e">
        <f>IFERROR(VLOOKUP($A31,#REF!,3,FALSE),0)*$H31*E$48*payinf^2</f>
        <v>#REF!</v>
      </c>
      <c r="M31" s="35" t="e">
        <f>IFERROR(VLOOKUP($A31,#REF!,3,FALSE),0)*$H31*F$48*payinf^3</f>
        <v>#REF!</v>
      </c>
      <c r="N31" s="35" t="e">
        <f>IFERROR(VLOOKUP($A31,#REF!,3,FALSE),0)*$H31*G$48*payinf^4</f>
        <v>#REF!</v>
      </c>
      <c r="O31" s="35" t="e">
        <f>IFERROR(VLOOKUP($A31,#REF!,3,FALSE),0)*$H31*H$48*payinf^5</f>
        <v>#REF!</v>
      </c>
    </row>
    <row r="32" spans="1:16" s="10" customFormat="1" ht="19.9" customHeight="1">
      <c r="A32" s="8"/>
      <c r="C32" s="8"/>
      <c r="D32" s="8"/>
      <c r="E32" s="8"/>
      <c r="F32" s="8"/>
      <c r="G32" s="8"/>
      <c r="J32" s="37"/>
      <c r="K32" s="37"/>
      <c r="L32" s="37"/>
      <c r="M32" s="65"/>
      <c r="N32" s="65"/>
      <c r="O32" s="65"/>
      <c r="P32" s="8"/>
    </row>
    <row r="33" spans="1:15">
      <c r="A33" s="1" t="s">
        <v>7</v>
      </c>
      <c r="C33" s="3" t="s">
        <v>3</v>
      </c>
      <c r="D33" s="3" t="s">
        <v>3</v>
      </c>
      <c r="E33" s="3" t="s">
        <v>3</v>
      </c>
      <c r="F33" s="3" t="s">
        <v>3</v>
      </c>
      <c r="G33" s="3" t="s">
        <v>3</v>
      </c>
      <c r="H33" s="3" t="s">
        <v>3</v>
      </c>
      <c r="J33" s="34"/>
      <c r="K33" s="34"/>
      <c r="L33" s="34"/>
      <c r="M33" s="34"/>
      <c r="N33" s="34"/>
      <c r="O33" s="34"/>
    </row>
    <row r="34" spans="3:13" ht="14.25" customHeight="1">
      <c r="C34" s="2" t="str">
        <f>J6</f>
        <v>2021/22</v>
      </c>
      <c r="D34" s="2" t="str">
        <f>K6</f>
        <v>2022/23</v>
      </c>
      <c r="E34" s="2" t="str">
        <f>L6</f>
        <v>2023/24</v>
      </c>
      <c r="F34" s="2" t="str">
        <f>M6</f>
        <v>2024/25</v>
      </c>
      <c r="G34" s="2" t="str">
        <f>N6</f>
        <v>2025/26</v>
      </c>
      <c r="H34" s="2" t="e">
        <f>O6</f>
        <v>#REF!</v>
      </c>
      <c r="K34" s="34"/>
      <c r="L34" s="34"/>
      <c r="M34" s="34"/>
    </row>
    <row r="35" spans="1:15">
      <c r="A35" t="s">
        <v>16</v>
      </c>
      <c r="C35" s="67">
        <v>0</v>
      </c>
      <c r="D35" s="67">
        <f>C35</f>
        <v>0</v>
      </c>
      <c r="E35" s="67">
        <f>D35</f>
        <v>0</v>
      </c>
      <c r="F35" s="67">
        <f>E35</f>
        <v>0</v>
      </c>
      <c r="G35" s="67">
        <f>F35</f>
        <v>0</v>
      </c>
      <c r="H35" s="67">
        <f>G35</f>
        <v>0</v>
      </c>
      <c r="J35" s="34">
        <f>C35</f>
        <v>0</v>
      </c>
      <c r="K35" s="34">
        <f>D35</f>
        <v>0</v>
      </c>
      <c r="L35" s="34">
        <f>E35</f>
        <v>0</v>
      </c>
      <c r="M35" s="34">
        <f>F35</f>
        <v>0</v>
      </c>
      <c r="N35" s="34">
        <f>G35</f>
        <v>0</v>
      </c>
      <c r="O35" s="34">
        <f>H35</f>
        <v>0</v>
      </c>
    </row>
    <row r="36" spans="1:15">
      <c r="A36" t="s">
        <v>15</v>
      </c>
      <c r="C36" s="67">
        <v>0</v>
      </c>
      <c r="D36" s="67">
        <f>C36</f>
        <v>0</v>
      </c>
      <c r="E36" s="67">
        <f>D36</f>
        <v>0</v>
      </c>
      <c r="F36" s="67">
        <f>E36</f>
        <v>0</v>
      </c>
      <c r="G36" s="67">
        <f>F36</f>
        <v>0</v>
      </c>
      <c r="H36" s="67">
        <f>G36</f>
        <v>0</v>
      </c>
      <c r="J36" s="34">
        <f>C36</f>
        <v>0</v>
      </c>
      <c r="K36" s="34">
        <f>D36</f>
        <v>0</v>
      </c>
      <c r="L36" s="34">
        <f>E36</f>
        <v>0</v>
      </c>
      <c r="M36" s="34">
        <f>F36</f>
        <v>0</v>
      </c>
      <c r="N36" s="34">
        <f>G36</f>
        <v>0</v>
      </c>
      <c r="O36" s="34">
        <f>H36</f>
        <v>0</v>
      </c>
    </row>
    <row r="37" spans="1:15">
      <c r="A37" t="s">
        <v>2</v>
      </c>
      <c r="C37" s="67">
        <v>0</v>
      </c>
      <c r="D37" s="67">
        <f>C37</f>
        <v>0</v>
      </c>
      <c r="E37" s="67">
        <f>D37</f>
        <v>0</v>
      </c>
      <c r="F37" s="67">
        <f>E37</f>
        <v>0</v>
      </c>
      <c r="G37" s="67">
        <f>F37</f>
        <v>0</v>
      </c>
      <c r="H37" s="67">
        <f>G37</f>
        <v>0</v>
      </c>
      <c r="J37" s="34">
        <f>C37</f>
        <v>0</v>
      </c>
      <c r="K37" s="34">
        <f>D37</f>
        <v>0</v>
      </c>
      <c r="L37" s="34">
        <f>E37</f>
        <v>0</v>
      </c>
      <c r="M37" s="34">
        <f>F37</f>
        <v>0</v>
      </c>
      <c r="N37" s="34">
        <f>G37</f>
        <v>0</v>
      </c>
      <c r="O37" s="34">
        <f>H37</f>
        <v>0</v>
      </c>
    </row>
    <row r="38" spans="3:13">
      <c r="C38" s="2"/>
      <c r="K38" s="34"/>
      <c r="L38" s="34"/>
      <c r="M38" s="34"/>
    </row>
    <row r="39" spans="1:13">
      <c r="A39" s="1" t="s">
        <v>8</v>
      </c>
      <c r="C39" s="3" t="s">
        <v>3</v>
      </c>
      <c r="K39" s="34"/>
      <c r="L39" s="34"/>
      <c r="M39" s="34"/>
    </row>
    <row r="40" spans="11:13" ht="6" customHeight="1">
      <c r="K40" s="34"/>
      <c r="L40" s="34"/>
      <c r="M40" s="34"/>
    </row>
    <row r="41" spans="1:15">
      <c r="A41" t="s">
        <v>17</v>
      </c>
      <c r="C41" s="67">
        <v>0</v>
      </c>
      <c r="J41" s="34" t="e">
        <f>$C41*C$48</f>
        <v>#REF!</v>
      </c>
      <c r="K41" s="34" t="e">
        <f>$C41*D$48</f>
        <v>#REF!</v>
      </c>
      <c r="L41" s="34" t="e">
        <f>$C41*E$48</f>
        <v>#REF!</v>
      </c>
      <c r="M41" s="34" t="e">
        <f>$C41*F$48</f>
        <v>#REF!</v>
      </c>
      <c r="N41" s="34" t="e">
        <f>$C41*G$48</f>
        <v>#REF!</v>
      </c>
      <c r="O41" s="34" t="e">
        <f>$C41*H$48</f>
        <v>#REF!</v>
      </c>
    </row>
    <row r="42" spans="1:15">
      <c r="A42" t="s">
        <v>1</v>
      </c>
      <c r="C42" s="67">
        <v>0</v>
      </c>
      <c r="J42" s="34" t="e">
        <f>$C42*C$48</f>
        <v>#REF!</v>
      </c>
      <c r="K42" s="34" t="e">
        <f>$C42*D$48</f>
        <v>#REF!</v>
      </c>
      <c r="L42" s="34" t="e">
        <f>$C42*E$48</f>
        <v>#REF!</v>
      </c>
      <c r="M42" s="34" t="e">
        <f>$C42*F$48</f>
        <v>#REF!</v>
      </c>
      <c r="N42" s="34" t="e">
        <f>$C42*G$48</f>
        <v>#REF!</v>
      </c>
      <c r="O42" s="34" t="e">
        <f>$C42*H$48</f>
        <v>#REF!</v>
      </c>
    </row>
    <row r="43" spans="1:15">
      <c r="A43" t="s">
        <v>2</v>
      </c>
      <c r="C43" s="67">
        <v>0</v>
      </c>
      <c r="J43" s="34" t="e">
        <f>$C43*C$48</f>
        <v>#REF!</v>
      </c>
      <c r="K43" s="34" t="e">
        <f>$C43*D$48</f>
        <v>#REF!</v>
      </c>
      <c r="L43" s="34" t="e">
        <f>$C43*E$48</f>
        <v>#REF!</v>
      </c>
      <c r="M43" s="34" t="e">
        <f>$C43*F$48</f>
        <v>#REF!</v>
      </c>
      <c r="N43" s="34" t="e">
        <f>$C43*G$48</f>
        <v>#REF!</v>
      </c>
      <c r="O43" s="34" t="e">
        <f>$C43*H$48</f>
        <v>#REF!</v>
      </c>
    </row>
    <row r="44" spans="3:13">
      <c r="C44" s="8"/>
      <c r="K44" s="34"/>
      <c r="L44" s="34"/>
      <c r="M44" s="34"/>
    </row>
    <row r="45" spans="3:15" ht="15.75" thickBot="1">
      <c r="C45" s="8"/>
      <c r="J45" s="36" t="e">
        <f>SUM(J7:J44)</f>
        <v>#REF!</v>
      </c>
      <c r="K45" s="36" t="e">
        <f>SUM(K7:K44)</f>
        <v>#REF!</v>
      </c>
      <c r="L45" s="36" t="e">
        <f>SUM(L7:L44)</f>
        <v>#REF!</v>
      </c>
      <c r="M45" s="36" t="e">
        <f>SUM(M7:M44)</f>
        <v>#REF!</v>
      </c>
      <c r="N45" s="36" t="e">
        <f>SUM(N7:N44)</f>
        <v>#REF!</v>
      </c>
      <c r="O45" s="36" t="e">
        <f>SUM(O7:O44)</f>
        <v>#REF!</v>
      </c>
    </row>
    <row r="46" spans="11:13" ht="15.75" thickTop="1">
      <c r="K46" s="34"/>
      <c r="L46" s="34"/>
      <c r="M46" s="34"/>
    </row>
    <row r="47" spans="3:13">
      <c r="C47" s="6" t="str">
        <f>'Ideal Case'!D9</f>
        <v>2021/22</v>
      </c>
      <c r="D47" s="6" t="str">
        <f>'Ideal Case'!E9</f>
        <v>2022/23</v>
      </c>
      <c r="E47" s="6" t="str">
        <f>'Ideal Case'!F9</f>
        <v>2023/24</v>
      </c>
      <c r="F47" s="6" t="str">
        <f>'Ideal Case'!G9</f>
        <v>2024/25</v>
      </c>
      <c r="G47" s="6" t="str">
        <f>'Ideal Case'!H9</f>
        <v>2025/26</v>
      </c>
      <c r="H47" s="6" t="e">
        <f>'Ideal Case'!#REF!</f>
        <v>#REF!</v>
      </c>
      <c r="K47" s="34"/>
      <c r="L47" s="34"/>
      <c r="M47" s="34"/>
    </row>
    <row r="48" spans="1:13">
      <c r="A48" s="1" t="s">
        <v>27</v>
      </c>
      <c r="C48" s="66" t="e">
        <f>'Ideal Case'!#REF!</f>
        <v>#REF!</v>
      </c>
      <c r="D48" s="66" t="e">
        <f>'Ideal Case'!#REF!</f>
        <v>#REF!</v>
      </c>
      <c r="E48" s="66" t="e">
        <f>'Ideal Case'!#REF!</f>
        <v>#REF!</v>
      </c>
      <c r="F48" s="66" t="e">
        <f>'Ideal Case'!#REF!</f>
        <v>#REF!</v>
      </c>
      <c r="G48" s="66" t="e">
        <f>'Ideal Case'!#REF!</f>
        <v>#REF!</v>
      </c>
      <c r="H48" s="66" t="e">
        <f>'Ideal Case'!#REF!</f>
        <v>#REF!</v>
      </c>
      <c r="K48" s="34"/>
      <c r="L48" s="34"/>
      <c r="M48" s="34"/>
    </row>
  </sheetData>
  <mergeCells count="2">
    <mergeCell ref="C1:D1"/>
    <mergeCell ref="J5:O5"/>
  </mergeCells>
  <conditionalFormatting sqref="J25:O31 J8:O9">
    <cfRule type="cellIs" dxfId="3" priority="2" operator="equal">
      <formula>0</formula>
    </cfRule>
  </conditionalFormatting>
  <conditionalFormatting sqref="J14:J19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2" orientation="landscape"/>
  <headerFooter scaleWithDoc="1" alignWithMargins="1" differentFirst="0" differentOddEven="0">
    <oddHeader>&amp;R&amp;A</oddHeader>
    <oddFooter>&amp;R&amp;Z&amp;F</oddFooter>
  </headerFooter>
  <extLst/>
</worksheet>
</file>

<file path=xl/worksheets/sheet1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00B0F0"/>
    <pageSetUpPr fitToPage="1"/>
  </sheetPr>
  <dimension ref="A1:P48"/>
  <sheetViews>
    <sheetView zoomScale="90" view="normal" workbookViewId="0">
      <selection pane="topLeft" activeCell="C44" sqref="C44"/>
    </sheetView>
  </sheetViews>
  <sheetFormatPr defaultRowHeight="15"/>
  <cols>
    <col min="1" max="1" width="70.75390625" customWidth="1"/>
    <col min="2" max="2" width="2.75390625" customWidth="1"/>
    <col min="3" max="8" width="14.375" customWidth="1"/>
    <col min="9" max="9" width="12.875" customWidth="1"/>
    <col min="10" max="15" width="10.75390625" customWidth="1"/>
    <col min="16" max="16" width="10.125" customWidth="1"/>
  </cols>
  <sheetData>
    <row r="1" spans="1:4" ht="30" customHeight="1" thickBot="1">
      <c r="A1" s="16" t="s">
        <v>4</v>
      </c>
      <c r="B1" s="17"/>
      <c r="C1" s="311" t="s">
        <v>12</v>
      </c>
      <c r="D1" s="312"/>
    </row>
    <row r="2" spans="1:3">
      <c r="A2" s="11"/>
      <c r="B2" s="11"/>
      <c r="C2" s="11"/>
    </row>
    <row r="3" spans="1:3">
      <c r="A3" s="12" t="s">
        <v>0</v>
      </c>
      <c r="B3" s="11"/>
      <c r="C3" s="11"/>
    </row>
    <row r="4" spans="1:3">
      <c r="A4" s="13" t="s">
        <v>55</v>
      </c>
      <c r="B4" s="11"/>
      <c r="C4" s="11"/>
    </row>
    <row r="5" spans="1:15">
      <c r="A5" s="72"/>
      <c r="B5" s="11"/>
      <c r="J5" s="3" t="s">
        <v>42</v>
      </c>
      <c r="K5" s="3"/>
      <c r="L5" s="3"/>
      <c r="M5" s="3"/>
      <c r="N5" s="3"/>
      <c r="O5" s="3"/>
    </row>
    <row r="6" spans="3:15" ht="16.5" customHeight="1" thickBot="1">
      <c r="C6" s="73" t="str">
        <f>J6</f>
        <v>2021/22</v>
      </c>
      <c r="D6" s="73" t="str">
        <f>K6</f>
        <v>2022/23</v>
      </c>
      <c r="E6" s="73" t="str">
        <f>L6</f>
        <v>2023/24</v>
      </c>
      <c r="F6" s="73" t="str">
        <f>M6</f>
        <v>2024/25</v>
      </c>
      <c r="G6" s="73" t="str">
        <f>N6</f>
        <v>2025/26</v>
      </c>
      <c r="H6" s="73" t="e">
        <f>O6</f>
        <v>#REF!</v>
      </c>
      <c r="J6" s="68" t="str">
        <f>'Ideal Case'!D9</f>
        <v>2021/22</v>
      </c>
      <c r="K6" s="68" t="str">
        <f>'Ideal Case'!E9</f>
        <v>2022/23</v>
      </c>
      <c r="L6" s="68" t="str">
        <f>'Ideal Case'!F9</f>
        <v>2023/24</v>
      </c>
      <c r="M6" s="68" t="str">
        <f>'Ideal Case'!G9</f>
        <v>2024/25</v>
      </c>
      <c r="N6" s="68" t="str">
        <f>'Ideal Case'!H9</f>
        <v>2025/26</v>
      </c>
      <c r="O6" s="68" t="e">
        <f>'Ideal Case'!#REF!</f>
        <v>#REF!</v>
      </c>
    </row>
    <row r="7" spans="1:4">
      <c r="A7" s="1" t="s">
        <v>13</v>
      </c>
      <c r="C7" s="14" t="s">
        <v>9</v>
      </c>
      <c r="D7" s="15" t="s">
        <v>10</v>
      </c>
    </row>
    <row r="8" spans="1:15">
      <c r="A8" s="4" t="s">
        <v>30</v>
      </c>
      <c r="C8" s="18">
        <v>0</v>
      </c>
      <c r="D8" s="18">
        <f>C8</f>
        <v>0</v>
      </c>
      <c r="E8" s="18">
        <f>D8</f>
        <v>0</v>
      </c>
      <c r="F8" s="18">
        <f>E8</f>
        <v>0</v>
      </c>
      <c r="G8" s="18">
        <f>F8</f>
        <v>0</v>
      </c>
      <c r="H8" s="18">
        <f>G8</f>
        <v>0</v>
      </c>
      <c r="J8" s="35">
        <f>IFERROR(VLOOKUP($A8,#REF!,2,FALSE),0)*C8</f>
        <v>0</v>
      </c>
      <c r="K8" s="35" t="e">
        <f>IFERROR(VLOOKUP($A8,#REF!,2,FALSE),0)*D8*payinf</f>
        <v>#REF!</v>
      </c>
      <c r="L8" s="35" t="e">
        <f>IFERROR(VLOOKUP($A8,#REF!,2,FALSE),0)*E8*payinf^2</f>
        <v>#REF!</v>
      </c>
      <c r="M8" s="35" t="e">
        <f>IFERROR(VLOOKUP($A8,#REF!,2,FALSE),0)*F8*payinf^3</f>
        <v>#REF!</v>
      </c>
      <c r="N8" s="35" t="e">
        <f>IFERROR(VLOOKUP($A8,#REF!,2,FALSE),0)*G8*payinf^4</f>
        <v>#REF!</v>
      </c>
      <c r="O8" s="35" t="e">
        <f>IFERROR(VLOOKUP($A8,#REF!,2,FALSE),0)*H8*payinf^5</f>
        <v>#REF!</v>
      </c>
    </row>
    <row r="9" spans="1:15">
      <c r="A9" s="4" t="s">
        <v>31</v>
      </c>
      <c r="C9" s="18">
        <v>0</v>
      </c>
      <c r="D9" s="18">
        <f>C9</f>
        <v>0</v>
      </c>
      <c r="E9" s="18">
        <f>D9</f>
        <v>0</v>
      </c>
      <c r="F9" s="18">
        <f>E9</f>
        <v>0</v>
      </c>
      <c r="G9" s="18">
        <f>F9</f>
        <v>0</v>
      </c>
      <c r="H9" s="18">
        <f>G9</f>
        <v>0</v>
      </c>
      <c r="J9" s="35">
        <f>IFERROR(VLOOKUP($A9,#REF!,2,FALSE),0)*C9</f>
        <v>0</v>
      </c>
      <c r="K9" s="35" t="e">
        <f>IFERROR(VLOOKUP($A9,#REF!,2,FALSE),0)*D9*payinf</f>
        <v>#REF!</v>
      </c>
      <c r="L9" s="35" t="e">
        <f>IFERROR(VLOOKUP($A9,#REF!,2,FALSE),0)*E9*payinf^2</f>
        <v>#REF!</v>
      </c>
      <c r="M9" s="35" t="e">
        <f>IFERROR(VLOOKUP($A9,#REF!,2,FALSE),0)*F9*payinf^3</f>
        <v>#REF!</v>
      </c>
      <c r="N9" s="35" t="e">
        <f>IFERROR(VLOOKUP($A9,#REF!,2,FALSE),0)*G9*payinf^4</f>
        <v>#REF!</v>
      </c>
      <c r="O9" s="35" t="e">
        <f>IFERROR(VLOOKUP($A9,#REF!,2,FALSE),0)*H9*payinf^5</f>
        <v>#REF!</v>
      </c>
    </row>
    <row r="10" spans="10:13" ht="19.9" customHeight="1">
      <c r="J10" s="34"/>
      <c r="L10" s="34"/>
      <c r="M10" s="34"/>
    </row>
    <row r="11" spans="1:13" ht="30">
      <c r="A11" s="1" t="s">
        <v>14</v>
      </c>
      <c r="C11" s="7" t="s">
        <v>5</v>
      </c>
      <c r="D11" s="7" t="s">
        <v>24</v>
      </c>
      <c r="E11" s="7" t="s">
        <v>6</v>
      </c>
      <c r="F11" s="7" t="s">
        <v>29</v>
      </c>
      <c r="G11" s="20"/>
      <c r="H11" s="19"/>
      <c r="J11" s="34"/>
      <c r="L11" s="34"/>
      <c r="M11" s="34"/>
    </row>
    <row r="12" spans="4:13" ht="18" customHeight="1">
      <c r="D12" s="2"/>
      <c r="E12" s="2"/>
      <c r="F12" s="2"/>
      <c r="G12" s="2"/>
      <c r="H12" s="9"/>
      <c r="J12" s="34"/>
      <c r="L12" s="34"/>
      <c r="M12" s="34"/>
    </row>
    <row r="13" spans="8:13" ht="7.5" customHeight="1">
      <c r="H13" s="8"/>
      <c r="J13" s="34"/>
      <c r="L13" s="34"/>
      <c r="M13" s="34"/>
    </row>
    <row r="14" spans="1:15">
      <c r="A14" s="4" t="s">
        <v>30</v>
      </c>
      <c r="C14" s="5"/>
      <c r="D14" s="5"/>
      <c r="E14" s="5"/>
      <c r="F14" s="2" t="e">
        <f>C14*lecmul+D14*tutmul+E14*othmul</f>
        <v>#REF!</v>
      </c>
      <c r="G14" s="8"/>
      <c r="H14" s="8"/>
      <c r="J14" s="35" t="e">
        <f>IFERROR(VLOOKUP(A14,#REF!,3,FALSE),0)*F14</f>
        <v>#REF!</v>
      </c>
      <c r="K14" s="34" t="e">
        <f>J14*payinf</f>
        <v>#REF!</v>
      </c>
      <c r="L14" s="34" t="e">
        <f>K14*payinf</f>
        <v>#REF!</v>
      </c>
      <c r="M14" s="34" t="e">
        <f>L14*payinf</f>
        <v>#REF!</v>
      </c>
      <c r="N14" s="34" t="e">
        <f>M14*payinf</f>
        <v>#REF!</v>
      </c>
      <c r="O14" s="34" t="e">
        <f>N14*payinf</f>
        <v>#REF!</v>
      </c>
    </row>
    <row r="15" spans="1:15">
      <c r="A15" s="4"/>
      <c r="C15" s="5"/>
      <c r="D15" s="5"/>
      <c r="E15" s="5"/>
      <c r="F15" s="2" t="e">
        <f>C15*lecmul+D15*tutmul+E15*othmul</f>
        <v>#REF!</v>
      </c>
      <c r="G15" s="8"/>
      <c r="H15" s="8"/>
      <c r="J15" s="35" t="e">
        <f>IFERROR(VLOOKUP(A15,#REF!,3,FALSE),0)*F15</f>
        <v>#REF!</v>
      </c>
      <c r="K15" s="34" t="e">
        <f>J15*payinf</f>
        <v>#REF!</v>
      </c>
      <c r="L15" s="34" t="e">
        <f>K15*payinf</f>
        <v>#REF!</v>
      </c>
      <c r="M15" s="34" t="e">
        <f>L15*payinf</f>
        <v>#REF!</v>
      </c>
      <c r="N15" s="34" t="e">
        <f>M15*payinf</f>
        <v>#REF!</v>
      </c>
      <c r="O15" s="34" t="e">
        <f>N15*payinf</f>
        <v>#REF!</v>
      </c>
    </row>
    <row r="16" spans="1:15">
      <c r="A16" s="4"/>
      <c r="C16" s="5"/>
      <c r="D16" s="5"/>
      <c r="E16" s="5"/>
      <c r="F16" s="2" t="e">
        <f>C16*lecmul+D16*tutmul+E16*othmul</f>
        <v>#REF!</v>
      </c>
      <c r="G16" s="8"/>
      <c r="H16" s="8"/>
      <c r="J16" s="35" t="e">
        <f>IFERROR(VLOOKUP(A16,#REF!,3,FALSE),0)*F16</f>
        <v>#REF!</v>
      </c>
      <c r="K16" s="34" t="e">
        <f>J16*payinf</f>
        <v>#REF!</v>
      </c>
      <c r="L16" s="34" t="e">
        <f>K16*payinf</f>
        <v>#REF!</v>
      </c>
      <c r="M16" s="34" t="e">
        <f>L16*payinf</f>
        <v>#REF!</v>
      </c>
      <c r="N16" s="34" t="e">
        <f>M16*payinf</f>
        <v>#REF!</v>
      </c>
      <c r="O16" s="34" t="e">
        <f>N16*payinf</f>
        <v>#REF!</v>
      </c>
    </row>
    <row r="17" spans="1:15">
      <c r="A17" s="4"/>
      <c r="C17" s="5"/>
      <c r="D17" s="5"/>
      <c r="E17" s="5"/>
      <c r="F17" s="2" t="e">
        <f>C17*lecmul+D17*tutmul+E17*othmul</f>
        <v>#REF!</v>
      </c>
      <c r="G17" s="8"/>
      <c r="H17" s="8"/>
      <c r="J17" s="35" t="e">
        <f>IFERROR(VLOOKUP(A17,#REF!,3,FALSE),0)*F17</f>
        <v>#REF!</v>
      </c>
      <c r="K17" s="34" t="e">
        <f>J17*payinf</f>
        <v>#REF!</v>
      </c>
      <c r="L17" s="34" t="e">
        <f>K17*payinf</f>
        <v>#REF!</v>
      </c>
      <c r="M17" s="34" t="e">
        <f>L17*payinf</f>
        <v>#REF!</v>
      </c>
      <c r="N17" s="34" t="e">
        <f>M17*payinf</f>
        <v>#REF!</v>
      </c>
      <c r="O17" s="34" t="e">
        <f>N17*payinf</f>
        <v>#REF!</v>
      </c>
    </row>
    <row r="18" spans="1:15">
      <c r="A18" s="4"/>
      <c r="C18" s="5"/>
      <c r="D18" s="5"/>
      <c r="E18" s="5"/>
      <c r="F18" s="2" t="e">
        <f>C18*lecmul+D18*tutmul+E18*othmul</f>
        <v>#REF!</v>
      </c>
      <c r="G18" s="8"/>
      <c r="H18" s="8"/>
      <c r="J18" s="35" t="e">
        <f>IFERROR(VLOOKUP(A18,#REF!,3,FALSE),0)*F18</f>
        <v>#REF!</v>
      </c>
      <c r="K18" s="34" t="e">
        <f>J18*payinf</f>
        <v>#REF!</v>
      </c>
      <c r="L18" s="34" t="e">
        <f>K18*payinf</f>
        <v>#REF!</v>
      </c>
      <c r="M18" s="34" t="e">
        <f>L18*payinf</f>
        <v>#REF!</v>
      </c>
      <c r="N18" s="34" t="e">
        <f>M18*payinf</f>
        <v>#REF!</v>
      </c>
      <c r="O18" s="34" t="e">
        <f>N18*payinf</f>
        <v>#REF!</v>
      </c>
    </row>
    <row r="19" spans="1:15">
      <c r="A19" s="4"/>
      <c r="C19" s="5"/>
      <c r="D19" s="5"/>
      <c r="E19" s="5"/>
      <c r="F19" s="2" t="e">
        <f>C19*lecmul+D19*tutmul+E19*othmul</f>
        <v>#REF!</v>
      </c>
      <c r="G19" s="8"/>
      <c r="H19" s="8"/>
      <c r="J19" s="35" t="e">
        <f>IFERROR(VLOOKUP(A19,#REF!,3,FALSE),0)*F19</f>
        <v>#REF!</v>
      </c>
      <c r="K19" s="34" t="e">
        <f>J19*payinf</f>
        <v>#REF!</v>
      </c>
      <c r="L19" s="34" t="e">
        <f>K19*payinf</f>
        <v>#REF!</v>
      </c>
      <c r="M19" s="34" t="e">
        <f>L19*payinf</f>
        <v>#REF!</v>
      </c>
      <c r="N19" s="34" t="e">
        <f>M19*payinf</f>
        <v>#REF!</v>
      </c>
      <c r="O19" s="34" t="e">
        <f>N19*payinf</f>
        <v>#REF!</v>
      </c>
    </row>
    <row r="20" spans="8:13" ht="19.9" customHeight="1">
      <c r="H20" s="8"/>
      <c r="K20" s="34"/>
      <c r="L20" s="34"/>
      <c r="M20" s="34"/>
    </row>
    <row r="21" spans="8:13" ht="19.9" customHeight="1">
      <c r="H21" s="8"/>
      <c r="K21" s="34"/>
      <c r="L21" s="34"/>
      <c r="M21" s="34"/>
    </row>
    <row r="22" spans="1:15" ht="30">
      <c r="A22" s="1" t="s">
        <v>11</v>
      </c>
      <c r="C22" s="7" t="s">
        <v>18</v>
      </c>
      <c r="D22" s="7" t="s">
        <v>19</v>
      </c>
      <c r="E22" s="7" t="s">
        <v>20</v>
      </c>
      <c r="F22" s="7" t="s">
        <v>22</v>
      </c>
      <c r="G22" s="7" t="s">
        <v>21</v>
      </c>
      <c r="H22" s="7" t="s">
        <v>44</v>
      </c>
      <c r="I22" s="7"/>
      <c r="J22" s="64"/>
      <c r="K22" s="64"/>
      <c r="L22" s="64"/>
      <c r="M22" s="64"/>
      <c r="N22" s="64"/>
      <c r="O22" s="64"/>
    </row>
    <row r="23" spans="3:15" ht="13.9" customHeight="1">
      <c r="C23" s="2" t="s">
        <v>23</v>
      </c>
      <c r="D23" s="2" t="s">
        <v>23</v>
      </c>
      <c r="E23" s="2" t="s">
        <v>23</v>
      </c>
      <c r="F23" s="2" t="s">
        <v>23</v>
      </c>
      <c r="G23" s="2" t="s">
        <v>23</v>
      </c>
      <c r="H23" s="2" t="s">
        <v>45</v>
      </c>
      <c r="J23" s="33"/>
      <c r="K23" s="33"/>
      <c r="L23" s="33"/>
      <c r="M23" s="33"/>
      <c r="N23" s="33"/>
      <c r="O23" s="33"/>
    </row>
    <row r="24" spans="11:13" ht="7.5" customHeight="1">
      <c r="K24" s="34"/>
      <c r="L24" s="34"/>
      <c r="M24" s="34"/>
    </row>
    <row r="25" spans="1:15">
      <c r="A25" s="4" t="s">
        <v>30</v>
      </c>
      <c r="C25" s="5"/>
      <c r="D25" s="5"/>
      <c r="E25" s="5"/>
      <c r="F25" s="5"/>
      <c r="G25" s="5"/>
      <c r="H25" s="2">
        <f>SUM(C25:G25)</f>
        <v>0</v>
      </c>
      <c r="J25" s="35" t="e">
        <f>IFERROR(VLOOKUP($A25,#REF!,3,FALSE),0)*$H25*C$48</f>
        <v>#REF!</v>
      </c>
      <c r="K25" s="35" t="e">
        <f>IFERROR(VLOOKUP($A25,#REF!,3,FALSE),0)*$H25*D$48*payinf</f>
        <v>#REF!</v>
      </c>
      <c r="L25" s="35" t="e">
        <f>IFERROR(VLOOKUP($A25,#REF!,3,FALSE),0)*$H25*E$48*payinf^2</f>
        <v>#REF!</v>
      </c>
      <c r="M25" s="35" t="e">
        <f>IFERROR(VLOOKUP($A25,#REF!,3,FALSE),0)*$H25*F$48*payinf^3</f>
        <v>#REF!</v>
      </c>
      <c r="N25" s="35" t="e">
        <f>IFERROR(VLOOKUP($A25,#REF!,3,FALSE),0)*$H25*G$48*payinf^4</f>
        <v>#REF!</v>
      </c>
      <c r="O25" s="35" t="e">
        <f>IFERROR(VLOOKUP($A25,#REF!,3,FALSE),0)*$H25*H$48*payinf^5</f>
        <v>#REF!</v>
      </c>
    </row>
    <row r="26" spans="1:15">
      <c r="A26" s="4" t="s">
        <v>31</v>
      </c>
      <c r="C26" s="5"/>
      <c r="D26" s="5"/>
      <c r="E26" s="5"/>
      <c r="F26" s="5"/>
      <c r="G26" s="5"/>
      <c r="H26" s="2">
        <f>SUM(C26:G26)</f>
        <v>0</v>
      </c>
      <c r="J26" s="35" t="e">
        <f>IFERROR(VLOOKUP($A26,#REF!,3,FALSE),0)*$H26*C$48</f>
        <v>#REF!</v>
      </c>
      <c r="K26" s="35" t="e">
        <f>IFERROR(VLOOKUP($A26,#REF!,3,FALSE),0)*$H26*D$48*payinf</f>
        <v>#REF!</v>
      </c>
      <c r="L26" s="35" t="e">
        <f>IFERROR(VLOOKUP($A26,#REF!,3,FALSE),0)*$H26*E$48*payinf^2</f>
        <v>#REF!</v>
      </c>
      <c r="M26" s="35" t="e">
        <f>IFERROR(VLOOKUP($A26,#REF!,3,FALSE),0)*$H26*F$48*payinf^3</f>
        <v>#REF!</v>
      </c>
      <c r="N26" s="35" t="e">
        <f>IFERROR(VLOOKUP($A26,#REF!,3,FALSE),0)*$H26*G$48*payinf^4</f>
        <v>#REF!</v>
      </c>
      <c r="O26" s="35" t="e">
        <f>IFERROR(VLOOKUP($A26,#REF!,3,FALSE),0)*$H26*H$48*payinf^5</f>
        <v>#REF!</v>
      </c>
    </row>
    <row r="27" spans="1:15">
      <c r="A27" s="4"/>
      <c r="C27" s="5"/>
      <c r="D27" s="5"/>
      <c r="E27" s="5"/>
      <c r="F27" s="5"/>
      <c r="G27" s="5"/>
      <c r="H27" s="2">
        <f>SUM(C27:G27)</f>
        <v>0</v>
      </c>
      <c r="J27" s="35" t="e">
        <f>IFERROR(VLOOKUP($A27,#REF!,3,FALSE),0)*$H27*C$48</f>
        <v>#REF!</v>
      </c>
      <c r="K27" s="35" t="e">
        <f>IFERROR(VLOOKUP($A27,#REF!,3,FALSE),0)*$H27*D$48*payinf</f>
        <v>#REF!</v>
      </c>
      <c r="L27" s="35" t="e">
        <f>IFERROR(VLOOKUP($A27,#REF!,3,FALSE),0)*$H27*E$48*payinf^2</f>
        <v>#REF!</v>
      </c>
      <c r="M27" s="35" t="e">
        <f>IFERROR(VLOOKUP($A27,#REF!,3,FALSE),0)*$H27*F$48*payinf^3</f>
        <v>#REF!</v>
      </c>
      <c r="N27" s="35" t="e">
        <f>IFERROR(VLOOKUP($A27,#REF!,3,FALSE),0)*$H27*G$48*payinf^4</f>
        <v>#REF!</v>
      </c>
      <c r="O27" s="35" t="e">
        <f>IFERROR(VLOOKUP($A27,#REF!,3,FALSE),0)*$H27*H$48*payinf^5</f>
        <v>#REF!</v>
      </c>
    </row>
    <row r="28" spans="1:15">
      <c r="A28" s="4"/>
      <c r="C28" s="5"/>
      <c r="D28" s="5"/>
      <c r="E28" s="5"/>
      <c r="F28" s="5"/>
      <c r="G28" s="5"/>
      <c r="H28" s="2">
        <f>SUM(C28:G28)</f>
        <v>0</v>
      </c>
      <c r="J28" s="35" t="e">
        <f>IFERROR(VLOOKUP($A28,#REF!,3,FALSE),0)*$H28*C$48</f>
        <v>#REF!</v>
      </c>
      <c r="K28" s="35" t="e">
        <f>IFERROR(VLOOKUP($A28,#REF!,3,FALSE),0)*$H28*D$48*payinf</f>
        <v>#REF!</v>
      </c>
      <c r="L28" s="35" t="e">
        <f>IFERROR(VLOOKUP($A28,#REF!,3,FALSE),0)*$H28*E$48*payinf^2</f>
        <v>#REF!</v>
      </c>
      <c r="M28" s="35" t="e">
        <f>IFERROR(VLOOKUP($A28,#REF!,3,FALSE),0)*$H28*F$48*payinf^3</f>
        <v>#REF!</v>
      </c>
      <c r="N28" s="35" t="e">
        <f>IFERROR(VLOOKUP($A28,#REF!,3,FALSE),0)*$H28*G$48*payinf^4</f>
        <v>#REF!</v>
      </c>
      <c r="O28" s="35" t="e">
        <f>IFERROR(VLOOKUP($A28,#REF!,3,FALSE),0)*$H28*H$48*payinf^5</f>
        <v>#REF!</v>
      </c>
    </row>
    <row r="29" spans="1:15">
      <c r="A29" s="4"/>
      <c r="C29" s="5"/>
      <c r="D29" s="5"/>
      <c r="E29" s="5"/>
      <c r="F29" s="5"/>
      <c r="G29" s="5"/>
      <c r="H29" s="2">
        <f>SUM(C29:G29)</f>
        <v>0</v>
      </c>
      <c r="J29" s="35" t="e">
        <f>IFERROR(VLOOKUP($A29,#REF!,3,FALSE),0)*$H29*C$48</f>
        <v>#REF!</v>
      </c>
      <c r="K29" s="35" t="e">
        <f>IFERROR(VLOOKUP($A29,#REF!,3,FALSE),0)*$H29*D$48*payinf</f>
        <v>#REF!</v>
      </c>
      <c r="L29" s="35" t="e">
        <f>IFERROR(VLOOKUP($A29,#REF!,3,FALSE),0)*$H29*E$48*payinf^2</f>
        <v>#REF!</v>
      </c>
      <c r="M29" s="35" t="e">
        <f>IFERROR(VLOOKUP($A29,#REF!,3,FALSE),0)*$H29*F$48*payinf^3</f>
        <v>#REF!</v>
      </c>
      <c r="N29" s="35" t="e">
        <f>IFERROR(VLOOKUP($A29,#REF!,3,FALSE),0)*$H29*G$48*payinf^4</f>
        <v>#REF!</v>
      </c>
      <c r="O29" s="35" t="e">
        <f>IFERROR(VLOOKUP($A29,#REF!,3,FALSE),0)*$H29*H$48*payinf^5</f>
        <v>#REF!</v>
      </c>
    </row>
    <row r="30" spans="1:15">
      <c r="A30" s="4"/>
      <c r="C30" s="5"/>
      <c r="D30" s="5"/>
      <c r="E30" s="5"/>
      <c r="F30" s="5"/>
      <c r="G30" s="5"/>
      <c r="H30" s="2">
        <f>SUM(C30:G30)</f>
        <v>0</v>
      </c>
      <c r="J30" s="35" t="e">
        <f>IFERROR(VLOOKUP($A30,#REF!,3,FALSE),0)*$H30*C$48</f>
        <v>#REF!</v>
      </c>
      <c r="K30" s="35" t="e">
        <f>IFERROR(VLOOKUP($A30,#REF!,3,FALSE),0)*$H30*D$48*payinf</f>
        <v>#REF!</v>
      </c>
      <c r="L30" s="35" t="e">
        <f>IFERROR(VLOOKUP($A30,#REF!,3,FALSE),0)*$H30*E$48*payinf^2</f>
        <v>#REF!</v>
      </c>
      <c r="M30" s="35" t="e">
        <f>IFERROR(VLOOKUP($A30,#REF!,3,FALSE),0)*$H30*F$48*payinf^3</f>
        <v>#REF!</v>
      </c>
      <c r="N30" s="35" t="e">
        <f>IFERROR(VLOOKUP($A30,#REF!,3,FALSE),0)*$H30*G$48*payinf^4</f>
        <v>#REF!</v>
      </c>
      <c r="O30" s="35" t="e">
        <f>IFERROR(VLOOKUP($A30,#REF!,3,FALSE),0)*$H30*H$48*payinf^5</f>
        <v>#REF!</v>
      </c>
    </row>
    <row r="31" spans="1:15">
      <c r="A31" s="4"/>
      <c r="C31" s="5"/>
      <c r="D31" s="5"/>
      <c r="E31" s="5"/>
      <c r="F31" s="5"/>
      <c r="G31" s="5"/>
      <c r="H31" s="2">
        <f>SUM(C31:G31)</f>
        <v>0</v>
      </c>
      <c r="J31" s="35" t="e">
        <f>IFERROR(VLOOKUP($A31,#REF!,3,FALSE),0)*$H31*C$48</f>
        <v>#REF!</v>
      </c>
      <c r="K31" s="35" t="e">
        <f>IFERROR(VLOOKUP($A31,#REF!,3,FALSE),0)*$H31*D$48*payinf</f>
        <v>#REF!</v>
      </c>
      <c r="L31" s="35" t="e">
        <f>IFERROR(VLOOKUP($A31,#REF!,3,FALSE),0)*$H31*E$48*payinf^2</f>
        <v>#REF!</v>
      </c>
      <c r="M31" s="35" t="e">
        <f>IFERROR(VLOOKUP($A31,#REF!,3,FALSE),0)*$H31*F$48*payinf^3</f>
        <v>#REF!</v>
      </c>
      <c r="N31" s="35" t="e">
        <f>IFERROR(VLOOKUP($A31,#REF!,3,FALSE),0)*$H31*G$48*payinf^4</f>
        <v>#REF!</v>
      </c>
      <c r="O31" s="35" t="e">
        <f>IFERROR(VLOOKUP($A31,#REF!,3,FALSE),0)*$H31*H$48*payinf^5</f>
        <v>#REF!</v>
      </c>
    </row>
    <row r="32" spans="1:16" s="10" customFormat="1" ht="19.9" customHeight="1">
      <c r="A32" s="8"/>
      <c r="C32" s="8"/>
      <c r="D32" s="8"/>
      <c r="E32" s="8"/>
      <c r="F32" s="8"/>
      <c r="G32" s="8"/>
      <c r="J32" s="37"/>
      <c r="K32" s="37"/>
      <c r="L32" s="37"/>
      <c r="M32" s="65"/>
      <c r="N32" s="65"/>
      <c r="O32" s="65"/>
      <c r="P32" s="8"/>
    </row>
    <row r="33" spans="1:15">
      <c r="A33" s="1" t="s">
        <v>7</v>
      </c>
      <c r="C33" s="3" t="s">
        <v>3</v>
      </c>
      <c r="D33" s="3" t="s">
        <v>3</v>
      </c>
      <c r="E33" s="3" t="s">
        <v>3</v>
      </c>
      <c r="F33" s="3" t="s">
        <v>3</v>
      </c>
      <c r="G33" s="3" t="s">
        <v>3</v>
      </c>
      <c r="H33" s="3" t="s">
        <v>3</v>
      </c>
      <c r="J33" s="34"/>
      <c r="K33" s="34"/>
      <c r="L33" s="34"/>
      <c r="M33" s="34"/>
      <c r="N33" s="34"/>
      <c r="O33" s="34"/>
    </row>
    <row r="34" spans="3:13" ht="14.25" customHeight="1">
      <c r="C34" s="2" t="str">
        <f>J6</f>
        <v>2021/22</v>
      </c>
      <c r="D34" s="2" t="str">
        <f>K6</f>
        <v>2022/23</v>
      </c>
      <c r="E34" s="2" t="str">
        <f>L6</f>
        <v>2023/24</v>
      </c>
      <c r="F34" s="2" t="str">
        <f>M6</f>
        <v>2024/25</v>
      </c>
      <c r="G34" s="2" t="str">
        <f>N6</f>
        <v>2025/26</v>
      </c>
      <c r="H34" s="2" t="e">
        <f>O6</f>
        <v>#REF!</v>
      </c>
      <c r="K34" s="34"/>
      <c r="L34" s="34"/>
      <c r="M34" s="34"/>
    </row>
    <row r="35" spans="1:15">
      <c r="A35" t="s">
        <v>16</v>
      </c>
      <c r="C35" s="67">
        <v>0</v>
      </c>
      <c r="D35" s="67">
        <f>C35</f>
        <v>0</v>
      </c>
      <c r="E35" s="67">
        <f>D35</f>
        <v>0</v>
      </c>
      <c r="F35" s="67">
        <f>E35</f>
        <v>0</v>
      </c>
      <c r="G35" s="67">
        <f>F35</f>
        <v>0</v>
      </c>
      <c r="H35" s="67">
        <f>G35</f>
        <v>0</v>
      </c>
      <c r="J35" s="34">
        <f>C35</f>
        <v>0</v>
      </c>
      <c r="K35" s="34">
        <f>D35</f>
        <v>0</v>
      </c>
      <c r="L35" s="34">
        <f>E35</f>
        <v>0</v>
      </c>
      <c r="M35" s="34">
        <f>F35</f>
        <v>0</v>
      </c>
      <c r="N35" s="34">
        <f>G35</f>
        <v>0</v>
      </c>
      <c r="O35" s="34">
        <f>H35</f>
        <v>0</v>
      </c>
    </row>
    <row r="36" spans="1:15">
      <c r="A36" t="s">
        <v>15</v>
      </c>
      <c r="C36" s="67">
        <v>0</v>
      </c>
      <c r="D36" s="67">
        <f>C36</f>
        <v>0</v>
      </c>
      <c r="E36" s="67">
        <f>D36</f>
        <v>0</v>
      </c>
      <c r="F36" s="67">
        <f>E36</f>
        <v>0</v>
      </c>
      <c r="G36" s="67">
        <f>F36</f>
        <v>0</v>
      </c>
      <c r="H36" s="67">
        <f>G36</f>
        <v>0</v>
      </c>
      <c r="J36" s="34">
        <f>C36</f>
        <v>0</v>
      </c>
      <c r="K36" s="34">
        <f>D36</f>
        <v>0</v>
      </c>
      <c r="L36" s="34">
        <f>E36</f>
        <v>0</v>
      </c>
      <c r="M36" s="34">
        <f>F36</f>
        <v>0</v>
      </c>
      <c r="N36" s="34">
        <f>G36</f>
        <v>0</v>
      </c>
      <c r="O36" s="34">
        <f>H36</f>
        <v>0</v>
      </c>
    </row>
    <row r="37" spans="1:15">
      <c r="A37" t="s">
        <v>2</v>
      </c>
      <c r="C37" s="67">
        <v>0</v>
      </c>
      <c r="D37" s="67">
        <f>C37</f>
        <v>0</v>
      </c>
      <c r="E37" s="67">
        <f>D37</f>
        <v>0</v>
      </c>
      <c r="F37" s="67">
        <f>E37</f>
        <v>0</v>
      </c>
      <c r="G37" s="67">
        <f>F37</f>
        <v>0</v>
      </c>
      <c r="H37" s="67">
        <f>G37</f>
        <v>0</v>
      </c>
      <c r="J37" s="34">
        <f>C37</f>
        <v>0</v>
      </c>
      <c r="K37" s="34">
        <f>D37</f>
        <v>0</v>
      </c>
      <c r="L37" s="34">
        <f>E37</f>
        <v>0</v>
      </c>
      <c r="M37" s="34">
        <f>F37</f>
        <v>0</v>
      </c>
      <c r="N37" s="34">
        <f>G37</f>
        <v>0</v>
      </c>
      <c r="O37" s="34">
        <f>H37</f>
        <v>0</v>
      </c>
    </row>
    <row r="38" spans="3:13">
      <c r="C38" s="2"/>
      <c r="K38" s="34"/>
      <c r="L38" s="34"/>
      <c r="M38" s="34"/>
    </row>
    <row r="39" spans="1:13">
      <c r="A39" s="1" t="s">
        <v>8</v>
      </c>
      <c r="C39" s="3" t="s">
        <v>3</v>
      </c>
      <c r="K39" s="34"/>
      <c r="L39" s="34"/>
      <c r="M39" s="34"/>
    </row>
    <row r="40" spans="11:13" ht="6" customHeight="1">
      <c r="K40" s="34"/>
      <c r="L40" s="34"/>
      <c r="M40" s="34"/>
    </row>
    <row r="41" spans="1:15">
      <c r="A41" t="s">
        <v>17</v>
      </c>
      <c r="C41" s="67">
        <v>0</v>
      </c>
      <c r="J41" s="34" t="e">
        <f>$C41*C$48</f>
        <v>#REF!</v>
      </c>
      <c r="K41" s="34" t="e">
        <f>$C41*D$48</f>
        <v>#REF!</v>
      </c>
      <c r="L41" s="34" t="e">
        <f>$C41*E$48</f>
        <v>#REF!</v>
      </c>
      <c r="M41" s="34" t="e">
        <f>$C41*F$48</f>
        <v>#REF!</v>
      </c>
      <c r="N41" s="34" t="e">
        <f>$C41*G$48</f>
        <v>#REF!</v>
      </c>
      <c r="O41" s="34" t="e">
        <f>$C41*H$48</f>
        <v>#REF!</v>
      </c>
    </row>
    <row r="42" spans="1:15">
      <c r="A42" t="s">
        <v>1</v>
      </c>
      <c r="C42" s="67">
        <v>0</v>
      </c>
      <c r="J42" s="34" t="e">
        <f>$C42*C$48</f>
        <v>#REF!</v>
      </c>
      <c r="K42" s="34" t="e">
        <f>$C42*D$48</f>
        <v>#REF!</v>
      </c>
      <c r="L42" s="34" t="e">
        <f>$C42*E$48</f>
        <v>#REF!</v>
      </c>
      <c r="M42" s="34" t="e">
        <f>$C42*F$48</f>
        <v>#REF!</v>
      </c>
      <c r="N42" s="34" t="e">
        <f>$C42*G$48</f>
        <v>#REF!</v>
      </c>
      <c r="O42" s="34" t="e">
        <f>$C42*H$48</f>
        <v>#REF!</v>
      </c>
    </row>
    <row r="43" spans="1:15">
      <c r="A43" t="s">
        <v>2</v>
      </c>
      <c r="C43" s="67">
        <v>0</v>
      </c>
      <c r="J43" s="34" t="e">
        <f>$C43*C$48</f>
        <v>#REF!</v>
      </c>
      <c r="K43" s="34" t="e">
        <f>$C43*D$48</f>
        <v>#REF!</v>
      </c>
      <c r="L43" s="34" t="e">
        <f>$C43*E$48</f>
        <v>#REF!</v>
      </c>
      <c r="M43" s="34" t="e">
        <f>$C43*F$48</f>
        <v>#REF!</v>
      </c>
      <c r="N43" s="34" t="e">
        <f>$C43*G$48</f>
        <v>#REF!</v>
      </c>
      <c r="O43" s="34" t="e">
        <f>$C43*H$48</f>
        <v>#REF!</v>
      </c>
    </row>
    <row r="44" spans="3:13">
      <c r="C44" s="8"/>
      <c r="K44" s="34"/>
      <c r="L44" s="34"/>
      <c r="M44" s="34"/>
    </row>
    <row r="45" spans="3:15" ht="15.75" thickBot="1">
      <c r="C45" s="8"/>
      <c r="J45" s="36" t="e">
        <f>SUM(J7:J44)</f>
        <v>#REF!</v>
      </c>
      <c r="K45" s="36" t="e">
        <f>SUM(K7:K44)</f>
        <v>#REF!</v>
      </c>
      <c r="L45" s="36" t="e">
        <f>SUM(L7:L44)</f>
        <v>#REF!</v>
      </c>
      <c r="M45" s="36" t="e">
        <f>SUM(M7:M44)</f>
        <v>#REF!</v>
      </c>
      <c r="N45" s="36" t="e">
        <f>SUM(N7:N44)</f>
        <v>#REF!</v>
      </c>
      <c r="O45" s="36" t="e">
        <f>SUM(O7:O44)</f>
        <v>#REF!</v>
      </c>
    </row>
    <row r="46" spans="11:13" ht="15.75" thickTop="1">
      <c r="K46" s="34"/>
      <c r="L46" s="34"/>
      <c r="M46" s="34"/>
    </row>
    <row r="47" spans="3:13">
      <c r="C47" s="6" t="str">
        <f>'Ideal Case'!D9</f>
        <v>2021/22</v>
      </c>
      <c r="D47" s="6" t="str">
        <f>'Ideal Case'!E9</f>
        <v>2022/23</v>
      </c>
      <c r="E47" s="6" t="str">
        <f>'Ideal Case'!F9</f>
        <v>2023/24</v>
      </c>
      <c r="F47" s="6" t="str">
        <f>'Ideal Case'!G9</f>
        <v>2024/25</v>
      </c>
      <c r="G47" s="6" t="str">
        <f>'Ideal Case'!H9</f>
        <v>2025/26</v>
      </c>
      <c r="H47" s="6" t="e">
        <f>'Ideal Case'!#REF!</f>
        <v>#REF!</v>
      </c>
      <c r="K47" s="34"/>
      <c r="L47" s="34"/>
      <c r="M47" s="34"/>
    </row>
    <row r="48" spans="1:13">
      <c r="A48" s="1" t="s">
        <v>27</v>
      </c>
      <c r="C48" s="66" t="e">
        <f>'Ideal Case'!#REF!</f>
        <v>#REF!</v>
      </c>
      <c r="D48" s="66" t="e">
        <f>'Ideal Case'!#REF!</f>
        <v>#REF!</v>
      </c>
      <c r="E48" s="66" t="e">
        <f>'Ideal Case'!#REF!</f>
        <v>#REF!</v>
      </c>
      <c r="F48" s="66" t="e">
        <f>'Ideal Case'!#REF!</f>
        <v>#REF!</v>
      </c>
      <c r="G48" s="66" t="e">
        <f>'Ideal Case'!#REF!</f>
        <v>#REF!</v>
      </c>
      <c r="H48" s="66" t="e">
        <f>'Ideal Case'!#REF!</f>
        <v>#REF!</v>
      </c>
      <c r="K48" s="34"/>
      <c r="L48" s="34"/>
      <c r="M48" s="34"/>
    </row>
  </sheetData>
  <mergeCells count="2">
    <mergeCell ref="C1:D1"/>
    <mergeCell ref="J5:O5"/>
  </mergeCells>
  <conditionalFormatting sqref="J25:O31 J8:O9">
    <cfRule type="cellIs" dxfId="1" priority="2" operator="equal">
      <formula>0</formula>
    </cfRule>
  </conditionalFormatting>
  <conditionalFormatting sqref="J14:J1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2" orientation="landscape"/>
  <headerFooter scaleWithDoc="1" alignWithMargins="1" differentFirst="0" differentOddEven="0">
    <oddHeader>&amp;R&amp;A</oddHeader>
    <oddFooter>&amp;R&amp;Z&amp;F</oddFooter>
  </headerFooter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39"/>
  <sheetViews>
    <sheetView view="normal" workbookViewId="0">
      <selection pane="topLeft" activeCell="G6" sqref="G6"/>
    </sheetView>
  </sheetViews>
  <sheetFormatPr defaultRowHeight="15"/>
  <cols>
    <col min="1" max="1" width="13.75390625" bestFit="1" customWidth="1"/>
    <col min="2" max="2" width="10.375" customWidth="1"/>
    <col min="3" max="3" width="9.625" bestFit="1" customWidth="1"/>
    <col min="4" max="5" width="9.75390625" bestFit="1" customWidth="1"/>
    <col min="6" max="7" width="10.875" bestFit="1" customWidth="1"/>
  </cols>
  <sheetData>
    <row r="1" spans="1:11" ht="21">
      <c r="A1" s="300" t="s">
        <v>139</v>
      </c>
      <c r="B1" s="300"/>
      <c r="C1" s="300"/>
      <c r="D1" s="300"/>
      <c r="E1" s="300"/>
      <c r="F1" s="300"/>
      <c r="G1" s="300"/>
      <c r="H1" s="300"/>
      <c r="I1" s="139"/>
      <c r="J1" s="139"/>
      <c r="K1" s="139"/>
    </row>
    <row r="2" spans="1:12" s="3" customFormat="1">
      <c r="A2" s="301" t="s">
        <v>164</v>
      </c>
      <c r="B2" s="301"/>
      <c r="C2" s="301"/>
      <c r="D2" s="301"/>
      <c r="E2" s="301"/>
      <c r="F2" s="301"/>
      <c r="G2" s="301"/>
      <c r="H2" s="301"/>
      <c r="I2" s="140"/>
      <c r="J2" s="140"/>
      <c r="K2" s="140"/>
      <c r="L2" s="140"/>
    </row>
    <row r="3" spans="1:12" s="3" customFormat="1">
      <c r="A3" s="142"/>
      <c r="B3" s="142"/>
      <c r="C3" s="142"/>
      <c r="D3" s="142"/>
      <c r="E3" s="142"/>
      <c r="F3" s="142"/>
      <c r="G3" s="142"/>
      <c r="H3" s="142"/>
      <c r="I3" s="2"/>
      <c r="J3" s="2"/>
      <c r="K3" s="2"/>
      <c r="L3" s="2"/>
    </row>
    <row r="4" spans="1:12" s="3" customFormat="1">
      <c r="A4" s="142"/>
      <c r="B4" s="142"/>
      <c r="C4" s="142"/>
      <c r="D4" s="142"/>
      <c r="E4" s="142"/>
      <c r="F4" s="142"/>
      <c r="G4" s="142"/>
      <c r="H4" s="142"/>
      <c r="I4" s="2"/>
      <c r="J4" s="2"/>
      <c r="K4" s="2"/>
      <c r="L4" s="2"/>
    </row>
    <row r="5" spans="1:8" s="28" customFormat="1">
      <c r="A5" s="143"/>
      <c r="B5" s="144" t="s">
        <v>79</v>
      </c>
      <c r="C5" s="144" t="s">
        <v>65</v>
      </c>
      <c r="D5" s="144" t="s">
        <v>96</v>
      </c>
      <c r="E5" s="144" t="s">
        <v>140</v>
      </c>
      <c r="F5" s="144" t="s">
        <v>152</v>
      </c>
      <c r="G5" s="144" t="s">
        <v>312</v>
      </c>
      <c r="H5" s="143"/>
    </row>
    <row r="6" spans="1:8" s="10" customFormat="1">
      <c r="A6" s="66"/>
      <c r="B6" s="66"/>
      <c r="C6" s="145"/>
      <c r="D6" s="146"/>
      <c r="E6" s="146"/>
      <c r="F6" s="146"/>
      <c r="G6" s="146"/>
      <c r="H6" s="66"/>
    </row>
    <row r="7" spans="1:8" s="119" customFormat="1" ht="15.75">
      <c r="A7" s="147" t="s">
        <v>32</v>
      </c>
      <c r="B7" s="147"/>
      <c r="C7" s="148"/>
      <c r="D7" s="148"/>
      <c r="E7" s="148"/>
      <c r="F7" s="148"/>
      <c r="G7" s="148"/>
      <c r="H7" s="148"/>
    </row>
    <row r="8" spans="1:8" s="120" customFormat="1" ht="11.25">
      <c r="A8" s="149"/>
      <c r="B8" s="150">
        <f>'Ideal Summary'!D20</f>
        <v>0</v>
      </c>
      <c r="C8" s="151">
        <f>'Ideal Summary'!E20</f>
        <v>0</v>
      </c>
      <c r="D8" s="151">
        <f>'Ideal Summary'!F20</f>
        <v>0</v>
      </c>
      <c r="E8" s="151">
        <f>'Ideal Summary'!G20</f>
        <v>0</v>
      </c>
      <c r="F8" s="151">
        <f>'Ideal Summary'!H20</f>
        <v>0</v>
      </c>
      <c r="G8" s="151">
        <f>'Ideal Summary'!I20</f>
        <v>0</v>
      </c>
      <c r="H8" s="151"/>
    </row>
    <row r="9" spans="1:8" s="119" customFormat="1" ht="15.75">
      <c r="A9" s="152" t="s">
        <v>113</v>
      </c>
      <c r="B9" s="153">
        <f>'Ideal Summary'!D33</f>
        <v>0</v>
      </c>
      <c r="C9" s="154">
        <f>'Ideal Summary'!E33</f>
        <v>0</v>
      </c>
      <c r="D9" s="154">
        <f>'Ideal Summary'!F33</f>
        <v>0</v>
      </c>
      <c r="E9" s="154">
        <f>'Ideal Summary'!G33</f>
        <v>0</v>
      </c>
      <c r="F9" s="154">
        <f>'Ideal Summary'!H33</f>
        <v>0</v>
      </c>
      <c r="G9" s="154">
        <f>'Ideal Summary'!I33</f>
        <v>0</v>
      </c>
      <c r="H9" s="148"/>
    </row>
    <row r="10" spans="1:8" s="121" customFormat="1" ht="11.25">
      <c r="A10" s="155"/>
      <c r="B10" s="156">
        <f>'Mid Summary'!D20</f>
        <v>0</v>
      </c>
      <c r="C10" s="156">
        <f>'Mid Summary'!E20</f>
        <v>0</v>
      </c>
      <c r="D10" s="156">
        <f>'Mid Summary'!F20</f>
        <v>0</v>
      </c>
      <c r="E10" s="156">
        <f>'Mid Summary'!G20</f>
        <v>0</v>
      </c>
      <c r="F10" s="156">
        <f>'Mid Summary'!H20</f>
        <v>0</v>
      </c>
      <c r="G10" s="156">
        <f>'Mid Summary'!I20</f>
        <v>0</v>
      </c>
      <c r="H10" s="157"/>
    </row>
    <row r="11" spans="1:8" s="119" customFormat="1" ht="15.75">
      <c r="A11" s="158" t="s">
        <v>111</v>
      </c>
      <c r="B11" s="153">
        <f>'Mid Summary'!D33</f>
        <v>0</v>
      </c>
      <c r="C11" s="153">
        <f>'Mid Summary'!E33</f>
        <v>0</v>
      </c>
      <c r="D11" s="153">
        <f>'Mid Summary'!F33</f>
        <v>0</v>
      </c>
      <c r="E11" s="153">
        <f>'Mid Summary'!G33</f>
        <v>0</v>
      </c>
      <c r="F11" s="153">
        <f>'Mid Summary'!H33</f>
        <v>0</v>
      </c>
      <c r="G11" s="153">
        <f>'Mid Summary'!I33</f>
        <v>0</v>
      </c>
      <c r="H11" s="148"/>
    </row>
    <row r="12" spans="1:8" s="122" customFormat="1" ht="11.25">
      <c r="A12" s="159"/>
      <c r="B12" s="160">
        <f>'Worse Summary'!D20</f>
        <v>0</v>
      </c>
      <c r="C12" s="160">
        <f>'Worse Summary'!E20</f>
        <v>0</v>
      </c>
      <c r="D12" s="160">
        <f>'Worse Summary'!F20</f>
        <v>0</v>
      </c>
      <c r="E12" s="160">
        <f>'Worse Summary'!G20</f>
        <v>0</v>
      </c>
      <c r="F12" s="160">
        <f>'Worse Summary'!H20</f>
        <v>0</v>
      </c>
      <c r="G12" s="160">
        <f>'Worse Summary'!I20</f>
        <v>0</v>
      </c>
      <c r="H12" s="161"/>
    </row>
    <row r="13" spans="1:8" s="119" customFormat="1" ht="15.75">
      <c r="A13" s="162" t="s">
        <v>114</v>
      </c>
      <c r="B13" s="154">
        <f>'Worse Summary'!D33</f>
        <v>0</v>
      </c>
      <c r="C13" s="154">
        <f>'Worse Summary'!E33</f>
        <v>0</v>
      </c>
      <c r="D13" s="154">
        <f>'Worse Summary'!F33</f>
        <v>0</v>
      </c>
      <c r="E13" s="154">
        <f>'Worse Summary'!G33</f>
        <v>0</v>
      </c>
      <c r="F13" s="154">
        <f>'Worse Summary'!H33</f>
        <v>0</v>
      </c>
      <c r="G13" s="154">
        <f>'Worse Summary'!I33</f>
        <v>0</v>
      </c>
      <c r="H13" s="148"/>
    </row>
    <row r="14" spans="1:8">
      <c r="A14" s="143"/>
      <c r="B14" s="163"/>
      <c r="C14" s="163"/>
      <c r="D14" s="163"/>
      <c r="E14" s="163"/>
      <c r="F14" s="163"/>
      <c r="G14" s="163"/>
      <c r="H14" s="143"/>
    </row>
    <row r="15" spans="1:8" s="123" customFormat="1" ht="11.25">
      <c r="A15" s="164" t="s">
        <v>115</v>
      </c>
      <c r="B15" s="165"/>
      <c r="C15" s="165"/>
      <c r="D15" s="165"/>
      <c r="E15" s="165"/>
      <c r="F15" s="165"/>
      <c r="G15" s="165"/>
      <c r="H15" s="166"/>
    </row>
    <row r="16" spans="1:8" s="123" customFormat="1" ht="11.25">
      <c r="A16" s="167" t="s">
        <v>113</v>
      </c>
      <c r="B16" s="165">
        <f>'Ideal Summary'!D36+'Ideal Summary'!D37</f>
        <v>0</v>
      </c>
      <c r="C16" s="165">
        <f>'Ideal Summary'!E36+'Ideal Summary'!E37</f>
        <v>0</v>
      </c>
      <c r="D16" s="165">
        <f>'Ideal Summary'!F36+'Ideal Summary'!F37</f>
        <v>0</v>
      </c>
      <c r="E16" s="165">
        <f>'Ideal Summary'!G36+'Ideal Summary'!G37</f>
        <v>0</v>
      </c>
      <c r="F16" s="165">
        <f>'Ideal Summary'!H36+'Ideal Summary'!H37</f>
        <v>0</v>
      </c>
      <c r="G16" s="165">
        <f>'Ideal Summary'!I36+'Ideal Summary'!I37</f>
        <v>0</v>
      </c>
      <c r="H16" s="166"/>
    </row>
    <row r="17" spans="1:8" s="123" customFormat="1" ht="11.25">
      <c r="A17" s="167" t="s">
        <v>111</v>
      </c>
      <c r="B17" s="165">
        <f>'Mid Summary'!D36+'Mid Summary'!D37</f>
        <v>0</v>
      </c>
      <c r="C17" s="165">
        <f>'Mid Summary'!E36+'Mid Summary'!E37</f>
        <v>0</v>
      </c>
      <c r="D17" s="165">
        <f>'Mid Summary'!F36+'Mid Summary'!F37</f>
        <v>0</v>
      </c>
      <c r="E17" s="165">
        <f>'Mid Summary'!G36+'Mid Summary'!G37</f>
        <v>0</v>
      </c>
      <c r="F17" s="165">
        <f>'Mid Summary'!H36+'Mid Summary'!H37</f>
        <v>0</v>
      </c>
      <c r="G17" s="165">
        <f>'Mid Summary'!I36+'Mid Summary'!I37</f>
        <v>0</v>
      </c>
      <c r="H17" s="166"/>
    </row>
    <row r="18" spans="1:8" s="123" customFormat="1" ht="11.25">
      <c r="A18" s="167" t="s">
        <v>114</v>
      </c>
      <c r="B18" s="165">
        <f>'Worse Summary'!D36+'Worse Summary'!D37</f>
        <v>0</v>
      </c>
      <c r="C18" s="165">
        <f>'Worse Summary'!E36+'Worse Summary'!E37</f>
        <v>0</v>
      </c>
      <c r="D18" s="165">
        <f>'Worse Summary'!F36+'Worse Summary'!F37</f>
        <v>0</v>
      </c>
      <c r="E18" s="165">
        <f>'Worse Summary'!G36+'Worse Summary'!G37</f>
        <v>0</v>
      </c>
      <c r="F18" s="165">
        <f>'Worse Summary'!H36+'Worse Summary'!H37</f>
        <v>0</v>
      </c>
      <c r="G18" s="165">
        <f>'Worse Summary'!I36+'Worse Summary'!I37</f>
        <v>0</v>
      </c>
      <c r="H18" s="166"/>
    </row>
    <row r="19" spans="1:8" s="123" customFormat="1" ht="11.25">
      <c r="A19" s="167"/>
      <c r="B19" s="165"/>
      <c r="C19" s="165"/>
      <c r="D19" s="165"/>
      <c r="E19" s="165"/>
      <c r="F19" s="165"/>
      <c r="G19" s="165"/>
      <c r="H19" s="166"/>
    </row>
    <row r="20" spans="1:8" s="123" customFormat="1" ht="11.25">
      <c r="A20" s="164" t="s">
        <v>116</v>
      </c>
      <c r="B20" s="165"/>
      <c r="C20" s="165"/>
      <c r="D20" s="165"/>
      <c r="E20" s="165"/>
      <c r="F20" s="165"/>
      <c r="G20" s="165"/>
      <c r="H20" s="166"/>
    </row>
    <row r="21" spans="1:8" s="123" customFormat="1" ht="11.25">
      <c r="A21" s="167" t="s">
        <v>113</v>
      </c>
      <c r="B21" s="165">
        <f>'Ideal Summary'!D38</f>
        <v>0</v>
      </c>
      <c r="C21" s="165">
        <f>'Ideal Summary'!E38</f>
        <v>0</v>
      </c>
      <c r="D21" s="165">
        <f>'Ideal Summary'!F38</f>
        <v>0</v>
      </c>
      <c r="E21" s="165">
        <f>'Ideal Summary'!G38</f>
        <v>0</v>
      </c>
      <c r="F21" s="165">
        <f>'Ideal Summary'!H38</f>
        <v>0</v>
      </c>
      <c r="G21" s="165">
        <f>'Ideal Summary'!I38</f>
        <v>0</v>
      </c>
      <c r="H21" s="166"/>
    </row>
    <row r="22" spans="1:8" s="123" customFormat="1" ht="11.25">
      <c r="A22" s="167" t="s">
        <v>111</v>
      </c>
      <c r="B22" s="165">
        <f>'Mid Summary'!D38</f>
        <v>0</v>
      </c>
      <c r="C22" s="165">
        <f>'Mid Summary'!E38</f>
        <v>0</v>
      </c>
      <c r="D22" s="165">
        <f>'Mid Summary'!F38</f>
        <v>0</v>
      </c>
      <c r="E22" s="165">
        <f>'Mid Summary'!G38</f>
        <v>0</v>
      </c>
      <c r="F22" s="165">
        <f>'Mid Summary'!H38</f>
        <v>0</v>
      </c>
      <c r="G22" s="165">
        <f>'Mid Summary'!I38</f>
        <v>0</v>
      </c>
      <c r="H22" s="166"/>
    </row>
    <row r="23" spans="1:8" s="123" customFormat="1" ht="11.25">
      <c r="A23" s="167" t="s">
        <v>114</v>
      </c>
      <c r="B23" s="165">
        <f>'Worse Summary'!D38</f>
        <v>0</v>
      </c>
      <c r="C23" s="165">
        <f>'Worse Summary'!E38</f>
        <v>0</v>
      </c>
      <c r="D23" s="165">
        <f>'Worse Summary'!F38</f>
        <v>0</v>
      </c>
      <c r="E23" s="165">
        <f>'Worse Summary'!G38</f>
        <v>0</v>
      </c>
      <c r="F23" s="165">
        <f>'Worse Summary'!H38</f>
        <v>0</v>
      </c>
      <c r="G23" s="165">
        <f>'Worse Summary'!I38</f>
        <v>0</v>
      </c>
      <c r="H23" s="166"/>
    </row>
    <row r="24" spans="1:8">
      <c r="A24" s="143"/>
      <c r="B24" s="163"/>
      <c r="C24" s="163"/>
      <c r="D24" s="163"/>
      <c r="E24" s="163"/>
      <c r="F24" s="163"/>
      <c r="G24" s="163"/>
      <c r="H24" s="143"/>
    </row>
    <row r="25" spans="1:8" s="119" customFormat="1" ht="15.75">
      <c r="A25" s="147" t="s">
        <v>117</v>
      </c>
      <c r="B25" s="148"/>
      <c r="C25" s="148"/>
      <c r="D25" s="148"/>
      <c r="E25" s="148"/>
      <c r="F25" s="148"/>
      <c r="G25" s="148"/>
      <c r="H25" s="148"/>
    </row>
    <row r="26" spans="1:8" s="119" customFormat="1" ht="15.75">
      <c r="A26" s="148" t="s">
        <v>113</v>
      </c>
      <c r="B26" s="154">
        <f>'Ideal Summary'!D39</f>
        <v>0</v>
      </c>
      <c r="C26" s="154">
        <f>'Ideal Summary'!E39</f>
        <v>0</v>
      </c>
      <c r="D26" s="154">
        <f>'Ideal Summary'!F39</f>
        <v>0</v>
      </c>
      <c r="E26" s="154">
        <f>'Ideal Summary'!G39</f>
        <v>0</v>
      </c>
      <c r="F26" s="154">
        <f>'Ideal Summary'!H39</f>
        <v>0</v>
      </c>
      <c r="G26" s="154">
        <f>'Ideal Summary'!I39</f>
        <v>0</v>
      </c>
      <c r="H26" s="148"/>
    </row>
    <row r="27" spans="1:8" s="119" customFormat="1" ht="15.75">
      <c r="A27" s="148" t="s">
        <v>111</v>
      </c>
      <c r="B27" s="154">
        <f>'Mid Summary'!D39</f>
        <v>0</v>
      </c>
      <c r="C27" s="154">
        <f>'Mid Summary'!E39</f>
        <v>0</v>
      </c>
      <c r="D27" s="154">
        <f>'Mid Summary'!F39</f>
        <v>0</v>
      </c>
      <c r="E27" s="154">
        <f>'Mid Summary'!G39</f>
        <v>0</v>
      </c>
      <c r="F27" s="154">
        <f>'Mid Summary'!H39</f>
        <v>0</v>
      </c>
      <c r="G27" s="154">
        <f>'Mid Summary'!I39</f>
        <v>0</v>
      </c>
      <c r="H27" s="148"/>
    </row>
    <row r="28" spans="1:8" s="119" customFormat="1" ht="15.75">
      <c r="A28" s="148" t="s">
        <v>114</v>
      </c>
      <c r="B28" s="154">
        <f>'Worse Summary'!D39</f>
        <v>0</v>
      </c>
      <c r="C28" s="154">
        <f>'Worse Summary'!E39</f>
        <v>0</v>
      </c>
      <c r="D28" s="154">
        <f>'Worse Summary'!F39</f>
        <v>0</v>
      </c>
      <c r="E28" s="154">
        <f>'Worse Summary'!G39</f>
        <v>0</v>
      </c>
      <c r="F28" s="154">
        <f>'Worse Summary'!H39</f>
        <v>0</v>
      </c>
      <c r="G28" s="154">
        <f>'Worse Summary'!I39</f>
        <v>0</v>
      </c>
      <c r="H28" s="148"/>
    </row>
    <row r="29" spans="1:8" s="119" customFormat="1" ht="15.75">
      <c r="A29" s="148"/>
      <c r="B29" s="154"/>
      <c r="C29" s="154"/>
      <c r="D29" s="154"/>
      <c r="E29" s="154"/>
      <c r="F29" s="154"/>
      <c r="G29" s="154"/>
      <c r="H29" s="148"/>
    </row>
    <row r="30" spans="1:8" s="119" customFormat="1" ht="15.75">
      <c r="A30" s="147" t="s">
        <v>109</v>
      </c>
      <c r="B30" s="154"/>
      <c r="C30" s="154"/>
      <c r="D30" s="154"/>
      <c r="E30" s="154"/>
      <c r="F30" s="154"/>
      <c r="G30" s="154"/>
      <c r="H30" s="148"/>
    </row>
    <row r="31" spans="1:8" s="119" customFormat="1" ht="15.75">
      <c r="A31" s="148" t="s">
        <v>113</v>
      </c>
      <c r="B31" s="154">
        <f>'Ideal Summary'!D41</f>
        <v>0</v>
      </c>
      <c r="C31" s="154">
        <f>'Ideal Summary'!E41</f>
        <v>0</v>
      </c>
      <c r="D31" s="154">
        <f>'Ideal Summary'!F41</f>
        <v>0</v>
      </c>
      <c r="E31" s="154">
        <f>'Ideal Summary'!G41</f>
        <v>0</v>
      </c>
      <c r="F31" s="154">
        <f>'Ideal Summary'!H41</f>
        <v>0</v>
      </c>
      <c r="G31" s="154">
        <f>'Ideal Summary'!I41</f>
        <v>0</v>
      </c>
      <c r="H31" s="148"/>
    </row>
    <row r="32" spans="1:8" s="138" customFormat="1" ht="12.75">
      <c r="A32" s="168"/>
      <c r="B32" s="168" t="e">
        <f>'Ideal Summary'!D42</f>
        <v>#DIV/0!</v>
      </c>
      <c r="C32" s="168" t="e">
        <f>'Ideal Summary'!E42</f>
        <v>#DIV/0!</v>
      </c>
      <c r="D32" s="168" t="e">
        <f>'Ideal Summary'!F42</f>
        <v>#DIV/0!</v>
      </c>
      <c r="E32" s="168" t="e">
        <f>'Ideal Summary'!G42</f>
        <v>#DIV/0!</v>
      </c>
      <c r="F32" s="168" t="e">
        <f>'Ideal Summary'!H42</f>
        <v>#DIV/0!</v>
      </c>
      <c r="G32" s="168" t="e">
        <f>'Ideal Summary'!I42</f>
        <v>#DIV/0!</v>
      </c>
      <c r="H32" s="168"/>
    </row>
    <row r="33" spans="1:8" s="119" customFormat="1" ht="15.75">
      <c r="A33" s="148" t="s">
        <v>111</v>
      </c>
      <c r="B33" s="154">
        <f>'Mid Summary'!D41</f>
        <v>0</v>
      </c>
      <c r="C33" s="154">
        <f>'Mid Summary'!E41</f>
        <v>0</v>
      </c>
      <c r="D33" s="154">
        <f>'Mid Summary'!F41</f>
        <v>0</v>
      </c>
      <c r="E33" s="154">
        <f>'Mid Summary'!G41</f>
        <v>0</v>
      </c>
      <c r="F33" s="154">
        <f>'Mid Summary'!H41</f>
        <v>0</v>
      </c>
      <c r="G33" s="154">
        <f>'Mid Summary'!I41</f>
        <v>0</v>
      </c>
      <c r="H33" s="148"/>
    </row>
    <row r="34" spans="1:8" s="138" customFormat="1" ht="12.75">
      <c r="A34" s="168"/>
      <c r="B34" s="168" t="e">
        <f>'Mid Summary'!D42</f>
        <v>#DIV/0!</v>
      </c>
      <c r="C34" s="168" t="e">
        <f>'Mid Summary'!E42</f>
        <v>#DIV/0!</v>
      </c>
      <c r="D34" s="168" t="e">
        <f>'Mid Summary'!F42</f>
        <v>#DIV/0!</v>
      </c>
      <c r="E34" s="168" t="e">
        <f>'Mid Summary'!G42</f>
        <v>#DIV/0!</v>
      </c>
      <c r="F34" s="168" t="e">
        <f>'Mid Summary'!H42</f>
        <v>#DIV/0!</v>
      </c>
      <c r="G34" s="168" t="e">
        <f>'Mid Summary'!I42</f>
        <v>#DIV/0!</v>
      </c>
      <c r="H34" s="168"/>
    </row>
    <row r="35" spans="1:8" s="119" customFormat="1" ht="15.75">
      <c r="A35" s="148" t="s">
        <v>114</v>
      </c>
      <c r="B35" s="154">
        <f>'Worse Summary'!D41</f>
        <v>0</v>
      </c>
      <c r="C35" s="154">
        <f>'Worse Summary'!E41</f>
        <v>0</v>
      </c>
      <c r="D35" s="154">
        <f>'Worse Summary'!F41</f>
        <v>0</v>
      </c>
      <c r="E35" s="154">
        <f>'Worse Summary'!G41</f>
        <v>0</v>
      </c>
      <c r="F35" s="154">
        <f>'Worse Summary'!H41</f>
        <v>0</v>
      </c>
      <c r="G35" s="154">
        <f>'Worse Summary'!I41</f>
        <v>0</v>
      </c>
      <c r="H35" s="148"/>
    </row>
    <row r="36" spans="1:8" s="138" customFormat="1" ht="12.75">
      <c r="A36" s="168"/>
      <c r="B36" s="168" t="e">
        <f>'Worse Summary'!D42</f>
        <v>#DIV/0!</v>
      </c>
      <c r="C36" s="168" t="e">
        <f>'Worse Summary'!E42</f>
        <v>#DIV/0!</v>
      </c>
      <c r="D36" s="168" t="e">
        <f>'Worse Summary'!F42</f>
        <v>#DIV/0!</v>
      </c>
      <c r="E36" s="168" t="e">
        <f>'Worse Summary'!G42</f>
        <v>#DIV/0!</v>
      </c>
      <c r="F36" s="168" t="e">
        <f>'Worse Summary'!H42</f>
        <v>#DIV/0!</v>
      </c>
      <c r="G36" s="168" t="e">
        <f>'Worse Summary'!I42</f>
        <v>#DIV/0!</v>
      </c>
      <c r="H36" s="168"/>
    </row>
    <row r="37" spans="1:8">
      <c r="A37" s="143"/>
      <c r="B37" s="143"/>
      <c r="C37" s="143"/>
      <c r="D37" s="143"/>
      <c r="E37" s="143"/>
      <c r="F37" s="143"/>
      <c r="G37" s="143"/>
      <c r="H37" s="143"/>
    </row>
    <row r="39" spans="1:2">
      <c r="A39" s="1"/>
      <c r="B39" s="1"/>
    </row>
  </sheetData>
  <mergeCells count="2">
    <mergeCell ref="A1:H1"/>
    <mergeCell ref="A2:H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/>
  <headerFooter scaleWithDoc="1" alignWithMargins="0" differentFirst="0" differentOddEven="0"/>
  <ignoredErrors>
    <ignoredError sqref="B32" evalError="1"/>
  </ignoredErrors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P69"/>
  <sheetViews>
    <sheetView topLeftCell="A1" zoomScale="85" view="normal" workbookViewId="0">
      <pane xSplit="2" ySplit="6" topLeftCell="C7" activePane="bottomRight" state="frozen"/>
      <selection pane="bottomRight" activeCell="B37" sqref="B37"/>
    </sheetView>
  </sheetViews>
  <sheetFormatPr defaultRowHeight="15"/>
  <cols>
    <col min="1" max="1" width="3.75390625" customWidth="1"/>
    <col min="2" max="2" width="37.375" customWidth="1"/>
    <col min="3" max="3" width="7.625" customWidth="1"/>
    <col min="4" max="5" width="9.625" customWidth="1"/>
    <col min="10" max="10" width="9.00390625" customWidth="1"/>
  </cols>
  <sheetData>
    <row r="1" spans="1:1">
      <c r="A1" t="s">
        <v>49</v>
      </c>
    </row>
    <row r="2" spans="1:1" ht="18.75">
      <c r="A2" s="38" t="str">
        <f>Summary!A2</f>
        <v>Name of Course</v>
      </c>
    </row>
    <row r="3" spans="1:1">
      <c r="A3" s="1" t="s">
        <v>52</v>
      </c>
    </row>
    <row r="4" spans="1:1" ht="10.5" customHeight="1">
      <c r="A4" s="38"/>
    </row>
    <row r="5" spans="1:9" ht="18.75">
      <c r="A5" s="38"/>
      <c r="B5" s="1"/>
      <c r="E5" s="302"/>
      <c r="F5" s="302"/>
      <c r="G5" s="302"/>
      <c r="H5" s="302"/>
      <c r="I5" s="302"/>
    </row>
    <row r="6" spans="2:9" ht="30">
      <c r="B6" s="93"/>
      <c r="C6" s="101" t="s">
        <v>151</v>
      </c>
      <c r="D6" s="94" t="str">
        <f>Summary!B5</f>
        <v>2020/21</v>
      </c>
      <c r="E6" s="94" t="str">
        <f>Summary!C5</f>
        <v>2021/22</v>
      </c>
      <c r="F6" s="94" t="str">
        <f>Summary!D5</f>
        <v>2022/23</v>
      </c>
      <c r="G6" s="94" t="str">
        <f>Summary!E5</f>
        <v>2023/24</v>
      </c>
      <c r="H6" s="94" t="str">
        <f>Summary!F5</f>
        <v>2024/25</v>
      </c>
      <c r="I6" s="94" t="str">
        <f>Summary!G5</f>
        <v>2025/26</v>
      </c>
    </row>
    <row r="7" spans="2:9">
      <c r="B7" s="51"/>
      <c r="C7" s="78"/>
      <c r="D7" s="42"/>
      <c r="E7" s="42"/>
      <c r="F7" s="42"/>
      <c r="G7" s="79"/>
      <c r="H7" s="79"/>
      <c r="I7" s="79"/>
    </row>
    <row r="8" spans="2:9">
      <c r="B8" s="91" t="s">
        <v>137</v>
      </c>
      <c r="C8" s="43"/>
      <c r="D8" s="169"/>
      <c r="E8" s="169"/>
      <c r="F8" s="41"/>
      <c r="G8" s="41"/>
      <c r="H8" s="43"/>
      <c r="I8" s="43"/>
    </row>
    <row r="9" spans="2:11">
      <c r="B9" s="51" t="s">
        <v>66</v>
      </c>
      <c r="C9" s="59"/>
      <c r="D9" s="169">
        <f>'Ideal Case'!C10</f>
        <v>0</v>
      </c>
      <c r="E9" s="169">
        <f>'Ideal Case'!D10</f>
        <v>0</v>
      </c>
      <c r="F9" s="41">
        <f>'Ideal Case'!E10</f>
        <v>0</v>
      </c>
      <c r="G9" s="41">
        <f>'Ideal Case'!F10</f>
        <v>0</v>
      </c>
      <c r="H9" s="41">
        <f>'Ideal Case'!G10</f>
        <v>0</v>
      </c>
      <c r="I9" s="41">
        <f>'Ideal Case'!H10</f>
        <v>0</v>
      </c>
      <c r="K9" s="134"/>
    </row>
    <row r="10" spans="2:9">
      <c r="B10" s="51" t="s">
        <v>67</v>
      </c>
      <c r="C10" s="59"/>
      <c r="D10" s="169">
        <f>'Ideal Case'!C11</f>
        <v>0</v>
      </c>
      <c r="E10" s="169">
        <f>'Ideal Case'!D11</f>
        <v>0</v>
      </c>
      <c r="F10" s="41">
        <f>'Ideal Case'!E11</f>
        <v>0</v>
      </c>
      <c r="G10" s="41">
        <f>'Ideal Case'!F11</f>
        <v>0</v>
      </c>
      <c r="H10" s="41">
        <f>'Ideal Case'!G11</f>
        <v>0</v>
      </c>
      <c r="I10" s="41">
        <f>'Ideal Case'!H11</f>
        <v>0</v>
      </c>
    </row>
    <row r="11" spans="2:9">
      <c r="B11" s="51" t="s">
        <v>119</v>
      </c>
      <c r="C11" s="59"/>
      <c r="D11" s="170">
        <f>'Ideal Case'!C13</f>
        <v>0</v>
      </c>
      <c r="E11" s="170">
        <f>'Ideal Case'!D13</f>
        <v>0</v>
      </c>
      <c r="F11" s="43">
        <f>'Ideal Case'!E13</f>
        <v>0</v>
      </c>
      <c r="G11" s="43">
        <f>'Ideal Case'!F13</f>
        <v>0</v>
      </c>
      <c r="H11" s="43">
        <f>'Ideal Case'!G13</f>
        <v>0</v>
      </c>
      <c r="I11" s="43">
        <f>'Ideal Case'!H13</f>
        <v>0</v>
      </c>
    </row>
    <row r="12" spans="2:9">
      <c r="B12" s="51" t="s">
        <v>68</v>
      </c>
      <c r="C12" s="59"/>
      <c r="D12" s="169">
        <f>'Ideal Case'!C14</f>
        <v>0</v>
      </c>
      <c r="E12" s="169">
        <f>'Ideal Case'!D14</f>
        <v>0</v>
      </c>
      <c r="F12" s="41">
        <f>'Ideal Case'!E14</f>
        <v>0</v>
      </c>
      <c r="G12" s="41">
        <f>'Ideal Case'!F14</f>
        <v>0</v>
      </c>
      <c r="H12" s="41">
        <f>'Ideal Case'!G14</f>
        <v>0</v>
      </c>
      <c r="I12" s="41">
        <f>'Ideal Case'!H14</f>
        <v>0</v>
      </c>
    </row>
    <row r="13" spans="2:9">
      <c r="B13" s="51" t="s">
        <v>70</v>
      </c>
      <c r="C13" s="176"/>
      <c r="D13" s="169">
        <f>'Ideal Case'!C15</f>
        <v>0</v>
      </c>
      <c r="E13" s="169">
        <f>'Ideal Case'!D15</f>
        <v>0</v>
      </c>
      <c r="F13" s="41">
        <f>'Ideal Case'!E15</f>
        <v>0</v>
      </c>
      <c r="G13" s="41">
        <f>'Ideal Case'!F15</f>
        <v>0</v>
      </c>
      <c r="H13" s="41">
        <f>'Ideal Case'!G15</f>
        <v>0</v>
      </c>
      <c r="I13" s="41">
        <f>'Ideal Case'!H15</f>
        <v>0</v>
      </c>
    </row>
    <row r="14" spans="2:9">
      <c r="B14" s="51" t="s">
        <v>122</v>
      </c>
      <c r="C14" s="176"/>
      <c r="D14" s="169">
        <f>'Ideal Case'!C16</f>
        <v>0</v>
      </c>
      <c r="E14" s="169">
        <f>'Ideal Case'!D16</f>
        <v>0</v>
      </c>
      <c r="F14" s="41">
        <f>'Ideal Case'!E16</f>
        <v>0</v>
      </c>
      <c r="G14" s="41">
        <f>'Ideal Case'!F16</f>
        <v>0</v>
      </c>
      <c r="H14" s="41">
        <f>'Ideal Case'!G16</f>
        <v>0</v>
      </c>
      <c r="I14" s="41">
        <f>'Ideal Case'!H16</f>
        <v>0</v>
      </c>
    </row>
    <row r="15" spans="2:11">
      <c r="B15" s="51" t="s">
        <v>76</v>
      </c>
      <c r="C15" s="59"/>
      <c r="D15" s="169">
        <f>'Ideal Case'!C17</f>
        <v>0</v>
      </c>
      <c r="E15" s="169">
        <f>'Ideal Case'!D17</f>
        <v>0</v>
      </c>
      <c r="F15" s="41">
        <f>'Ideal Case'!E17</f>
        <v>0</v>
      </c>
      <c r="G15" s="41">
        <f>'Ideal Case'!F17</f>
        <v>0</v>
      </c>
      <c r="H15" s="41">
        <f>'Ideal Case'!G17</f>
        <v>0</v>
      </c>
      <c r="I15" s="41">
        <f>'Ideal Case'!H17</f>
        <v>0</v>
      </c>
      <c r="K15" s="134"/>
    </row>
    <row r="16" spans="2:9">
      <c r="B16" s="51" t="s">
        <v>127</v>
      </c>
      <c r="C16" s="59"/>
      <c r="D16" s="169">
        <f>'Ideal Case'!C20</f>
        <v>0</v>
      </c>
      <c r="E16" s="169">
        <f>'Ideal Case'!D20</f>
        <v>0</v>
      </c>
      <c r="F16" s="41">
        <f>'Ideal Case'!E20</f>
        <v>0</v>
      </c>
      <c r="G16" s="41">
        <f>'Ideal Case'!F20</f>
        <v>0</v>
      </c>
      <c r="H16" s="41">
        <f>'Ideal Case'!G20</f>
        <v>0</v>
      </c>
      <c r="I16" s="41">
        <f>'Ideal Case'!H20</f>
        <v>0</v>
      </c>
    </row>
    <row r="17" spans="2:9">
      <c r="B17" s="51" t="s">
        <v>77</v>
      </c>
      <c r="C17" s="59"/>
      <c r="D17" s="169">
        <f>'Ideal Case'!C21</f>
        <v>0</v>
      </c>
      <c r="E17" s="169">
        <f>'Ideal Case'!D21</f>
        <v>0</v>
      </c>
      <c r="F17" s="41">
        <f>'Ideal Case'!E21</f>
        <v>0</v>
      </c>
      <c r="G17" s="41">
        <f>'Ideal Case'!F21</f>
        <v>0</v>
      </c>
      <c r="H17" s="41">
        <f>'Ideal Case'!G21</f>
        <v>0</v>
      </c>
      <c r="I17" s="41">
        <f>'Ideal Case'!H21</f>
        <v>0</v>
      </c>
    </row>
    <row r="18" spans="2:9">
      <c r="B18" s="51" t="s">
        <v>78</v>
      </c>
      <c r="C18" s="59"/>
      <c r="D18" s="169">
        <f>'Ideal Case'!C22</f>
        <v>0</v>
      </c>
      <c r="E18" s="169">
        <f>'Ideal Case'!D22</f>
        <v>0</v>
      </c>
      <c r="F18" s="41">
        <f>'Ideal Case'!E22</f>
        <v>0</v>
      </c>
      <c r="G18" s="41">
        <f>'Ideal Case'!F22</f>
        <v>0</v>
      </c>
      <c r="H18" s="41">
        <f>'Ideal Case'!G22</f>
        <v>0</v>
      </c>
      <c r="I18" s="41">
        <f>'Ideal Case'!H22</f>
        <v>0</v>
      </c>
    </row>
    <row r="19" spans="2:9">
      <c r="B19" s="51"/>
      <c r="C19" s="59"/>
      <c r="D19" s="169"/>
      <c r="E19" s="169"/>
      <c r="F19" s="41"/>
      <c r="G19" s="41"/>
      <c r="H19" s="41"/>
      <c r="I19" s="41"/>
    </row>
    <row r="20" spans="2:9">
      <c r="B20" s="51"/>
      <c r="C20" s="59"/>
      <c r="D20" s="171">
        <f>SUM(D9:D19)</f>
        <v>0</v>
      </c>
      <c r="E20" s="171">
        <f>SUM(E9:E19)</f>
        <v>0</v>
      </c>
      <c r="F20" s="58">
        <f>SUM(F9:F19)</f>
        <v>0</v>
      </c>
      <c r="G20" s="58">
        <f>SUM(G9:G19)</f>
        <v>0</v>
      </c>
      <c r="H20" s="58">
        <f>SUM(H9:H19)</f>
        <v>0</v>
      </c>
      <c r="I20" s="58">
        <f>SUM(I9:I19)</f>
        <v>0</v>
      </c>
    </row>
    <row r="21" spans="2:9">
      <c r="B21" s="51"/>
      <c r="C21" s="59"/>
      <c r="D21" s="169"/>
      <c r="E21" s="169"/>
      <c r="F21" s="41"/>
      <c r="G21" s="41"/>
      <c r="H21" s="41"/>
      <c r="I21" s="41"/>
    </row>
    <row r="22" spans="2:9">
      <c r="B22" s="91" t="s">
        <v>46</v>
      </c>
      <c r="C22" s="60"/>
      <c r="D22" s="169"/>
      <c r="E22" s="169"/>
      <c r="F22" s="41"/>
      <c r="G22" s="41"/>
      <c r="H22" s="43"/>
      <c r="I22" s="43"/>
    </row>
    <row r="23" spans="2:16">
      <c r="B23" s="53" t="s">
        <v>59</v>
      </c>
      <c r="C23" s="61"/>
      <c r="D23" s="87">
        <f>SUM('Ideal Case'!C26,'Ideal Case'!C28)</f>
        <v>0</v>
      </c>
      <c r="E23" s="87">
        <f>SUM('Ideal Case'!D26,'Ideal Case'!D28)</f>
        <v>0</v>
      </c>
      <c r="F23" s="87">
        <f>SUM('Ideal Case'!E26,'Ideal Case'!E28)</f>
        <v>0</v>
      </c>
      <c r="G23" s="87">
        <f>SUM('Ideal Case'!F26,'Ideal Case'!F28)</f>
        <v>0</v>
      </c>
      <c r="H23" s="87">
        <f>SUM('Ideal Case'!G26,'Ideal Case'!G28)</f>
        <v>0</v>
      </c>
      <c r="I23" s="87">
        <f>SUM('Ideal Case'!H26,'Ideal Case'!H28)</f>
        <v>0</v>
      </c>
      <c r="L23" s="132"/>
      <c r="M23" s="132"/>
      <c r="N23" s="132"/>
      <c r="O23" s="132"/>
      <c r="P23" s="132"/>
    </row>
    <row r="24" spans="2:15">
      <c r="B24" s="51" t="s">
        <v>28</v>
      </c>
      <c r="C24" s="43"/>
      <c r="D24" s="87">
        <f>'Ideal Case'!C27</f>
        <v>0</v>
      </c>
      <c r="E24" s="87">
        <f>'Ideal Case'!D27</f>
        <v>0</v>
      </c>
      <c r="F24" s="87">
        <f>'Ideal Case'!E27</f>
        <v>0</v>
      </c>
      <c r="G24" s="87">
        <f>'Ideal Case'!F27</f>
        <v>0</v>
      </c>
      <c r="H24" s="87">
        <f>'Ideal Case'!G27</f>
        <v>0</v>
      </c>
      <c r="I24" s="87">
        <f>'Ideal Case'!H27</f>
        <v>0</v>
      </c>
      <c r="K24" s="132"/>
      <c r="L24" s="132"/>
      <c r="M24" s="132"/>
      <c r="N24" s="132"/>
      <c r="O24" s="132"/>
    </row>
    <row r="25" spans="2:9">
      <c r="B25" s="51"/>
      <c r="C25" s="43"/>
      <c r="D25" s="135">
        <f>SUM(D23:D24)</f>
        <v>0</v>
      </c>
      <c r="E25" s="135">
        <f>SUM(E23:E24)</f>
        <v>0</v>
      </c>
      <c r="F25" s="135">
        <f>SUM(F23:F24)</f>
        <v>0</v>
      </c>
      <c r="G25" s="135">
        <f>SUM(G23:G24)</f>
        <v>0</v>
      </c>
      <c r="H25" s="135">
        <f>SUM(H23:H24)</f>
        <v>0</v>
      </c>
      <c r="I25" s="135">
        <f>SUM(I23:I24)</f>
        <v>0</v>
      </c>
    </row>
    <row r="26" spans="2:9">
      <c r="B26" s="56"/>
      <c r="C26" s="48"/>
      <c r="D26" s="41"/>
      <c r="E26" s="41"/>
      <c r="F26" s="41"/>
      <c r="G26" s="41"/>
      <c r="H26" s="43"/>
      <c r="I26" s="43"/>
    </row>
    <row r="27" spans="2:9">
      <c r="B27" s="51"/>
      <c r="C27" s="50"/>
      <c r="D27" s="303" t="s">
        <v>98</v>
      </c>
      <c r="E27" s="304"/>
      <c r="F27" s="304"/>
      <c r="G27" s="304"/>
      <c r="H27" s="304"/>
      <c r="I27" s="305"/>
    </row>
    <row r="28" spans="2:9">
      <c r="B28" s="51"/>
      <c r="C28" s="50"/>
      <c r="D28" s="79" t="s">
        <v>144</v>
      </c>
      <c r="E28" s="79" t="s">
        <v>64</v>
      </c>
      <c r="F28" s="42" t="s">
        <v>79</v>
      </c>
      <c r="G28" s="42" t="s">
        <v>65</v>
      </c>
      <c r="H28" s="42" t="s">
        <v>96</v>
      </c>
      <c r="I28" s="42" t="s">
        <v>140</v>
      </c>
    </row>
    <row r="29" spans="2:9">
      <c r="B29" s="91" t="s">
        <v>32</v>
      </c>
      <c r="C29" s="52"/>
      <c r="D29" s="43"/>
      <c r="E29" s="43"/>
      <c r="F29" s="43"/>
      <c r="G29" s="43"/>
      <c r="H29" s="43"/>
      <c r="I29" s="43"/>
    </row>
    <row r="30" spans="2:9">
      <c r="B30" s="51" t="s">
        <v>150</v>
      </c>
      <c r="C30" s="50"/>
      <c r="D30" s="172">
        <f>'Ideal Case'!K47</f>
        <v>0</v>
      </c>
      <c r="E30" s="44">
        <f>'Ideal Case'!L47</f>
        <v>0</v>
      </c>
      <c r="F30" s="44">
        <f>'Ideal Case'!M47</f>
        <v>0</v>
      </c>
      <c r="G30" s="44">
        <f>'Ideal Case'!N47</f>
        <v>0</v>
      </c>
      <c r="H30" s="44">
        <f>'Ideal Case'!O47</f>
        <v>0</v>
      </c>
      <c r="I30" s="44">
        <f>'Ideal Case'!P47</f>
        <v>0</v>
      </c>
    </row>
    <row r="31" spans="2:9">
      <c r="B31" s="51" t="s">
        <v>48</v>
      </c>
      <c r="C31" s="50"/>
      <c r="D31" s="172">
        <f>SUM('Ideal Case'!K10:K16)</f>
        <v>0</v>
      </c>
      <c r="E31" s="44">
        <f>SUM('Ideal Case'!L10:L16)</f>
        <v>0</v>
      </c>
      <c r="F31" s="44">
        <f>SUM('Ideal Case'!M10:M16)</f>
        <v>0</v>
      </c>
      <c r="G31" s="44">
        <f>SUM('Ideal Case'!N10:N16)</f>
        <v>0</v>
      </c>
      <c r="H31" s="44">
        <f>SUM('Ideal Case'!O10:O16)</f>
        <v>0</v>
      </c>
      <c r="I31" s="44">
        <f>SUM('Ideal Case'!P10:P16)</f>
        <v>0</v>
      </c>
    </row>
    <row r="32" spans="2:9">
      <c r="B32" s="51" t="s">
        <v>36</v>
      </c>
      <c r="C32" s="50"/>
      <c r="D32" s="172">
        <f>SUM('Ideal Case'!K17:K23)</f>
        <v>0</v>
      </c>
      <c r="E32" s="44">
        <f>SUM('Ideal Case'!L17:L23)</f>
        <v>0</v>
      </c>
      <c r="F32" s="44">
        <f>SUM('Ideal Case'!M17:M23)</f>
        <v>0</v>
      </c>
      <c r="G32" s="44">
        <f>SUM('Ideal Case'!N17:N23)</f>
        <v>0</v>
      </c>
      <c r="H32" s="44">
        <f>SUM('Ideal Case'!O17:O23)</f>
        <v>0</v>
      </c>
      <c r="I32" s="44">
        <f>SUM('Ideal Case'!P17:P23)</f>
        <v>0</v>
      </c>
    </row>
    <row r="33" spans="2:9" s="1" customFormat="1">
      <c r="B33" s="124" t="s">
        <v>35</v>
      </c>
      <c r="C33" s="125"/>
      <c r="D33" s="173">
        <f>SUM(D30:D32)</f>
        <v>0</v>
      </c>
      <c r="E33" s="126">
        <f>SUM(E30:E32)</f>
        <v>0</v>
      </c>
      <c r="F33" s="126">
        <f>SUM(F30:F32)</f>
        <v>0</v>
      </c>
      <c r="G33" s="126">
        <f>SUM(G30:G32)</f>
        <v>0</v>
      </c>
      <c r="H33" s="126">
        <f>SUM(H30:H32)</f>
        <v>0</v>
      </c>
      <c r="I33" s="126">
        <f>SUM(I30:I32)</f>
        <v>0</v>
      </c>
    </row>
    <row r="34" spans="2:9">
      <c r="B34" s="51"/>
      <c r="C34" s="50"/>
      <c r="D34" s="44"/>
      <c r="E34" s="44"/>
      <c r="F34" s="44"/>
      <c r="G34" s="44"/>
      <c r="H34" s="44"/>
      <c r="I34" s="44"/>
    </row>
    <row r="35" spans="2:9">
      <c r="B35" s="91" t="s">
        <v>37</v>
      </c>
      <c r="C35" s="52"/>
      <c r="D35" s="44"/>
      <c r="E35" s="44"/>
      <c r="F35" s="44"/>
      <c r="G35" s="44"/>
      <c r="H35" s="44"/>
      <c r="I35" s="44"/>
    </row>
    <row r="36" spans="2:9">
      <c r="B36" s="51" t="s">
        <v>38</v>
      </c>
      <c r="C36" s="50"/>
      <c r="D36" s="44">
        <f>'Ideal Case'!K68</f>
        <v>0</v>
      </c>
      <c r="E36" s="44">
        <f>'Ideal Case'!L68</f>
        <v>0</v>
      </c>
      <c r="F36" s="44">
        <f>'Ideal Case'!M68</f>
        <v>0</v>
      </c>
      <c r="G36" s="44">
        <f>'Ideal Case'!N68</f>
        <v>0</v>
      </c>
      <c r="H36" s="44">
        <f>'Ideal Case'!O68</f>
        <v>0</v>
      </c>
      <c r="I36" s="44">
        <f>'Ideal Case'!P68</f>
        <v>0</v>
      </c>
    </row>
    <row r="37" spans="2:9">
      <c r="B37" s="51" t="s">
        <v>39</v>
      </c>
      <c r="C37" s="50"/>
      <c r="D37" s="44">
        <f>SUM('Ideal Case'!K74:K79)</f>
        <v>0</v>
      </c>
      <c r="E37" s="44">
        <f>SUM('Ideal Case'!L74:L79)</f>
        <v>0</v>
      </c>
      <c r="F37" s="44">
        <f>SUM('Ideal Case'!M74:M79)</f>
        <v>0</v>
      </c>
      <c r="G37" s="44">
        <f>SUM('Ideal Case'!N74:N79)</f>
        <v>0</v>
      </c>
      <c r="H37" s="44">
        <f>SUM('Ideal Case'!O74:O79)</f>
        <v>0</v>
      </c>
      <c r="I37" s="44">
        <f>SUM('Ideal Case'!P74:P79)</f>
        <v>0</v>
      </c>
    </row>
    <row r="38" spans="2:9">
      <c r="B38" s="51" t="s">
        <v>40</v>
      </c>
      <c r="C38" s="50"/>
      <c r="D38" s="44">
        <f>SUM('Ideal Case'!K84:K93)</f>
        <v>0</v>
      </c>
      <c r="E38" s="44">
        <f>SUM('Ideal Case'!L84:L93)</f>
        <v>0</v>
      </c>
      <c r="F38" s="44">
        <f>SUM('Ideal Case'!M84:M93)</f>
        <v>0</v>
      </c>
      <c r="G38" s="44">
        <f>SUM('Ideal Case'!N84:N93)</f>
        <v>0</v>
      </c>
      <c r="H38" s="44">
        <f>SUM('Ideal Case'!O84:O93)</f>
        <v>0</v>
      </c>
      <c r="I38" s="44">
        <f>SUM('Ideal Case'!P84:P93)</f>
        <v>0</v>
      </c>
    </row>
    <row r="39" spans="2:9" s="1" customFormat="1">
      <c r="B39" s="124" t="s">
        <v>41</v>
      </c>
      <c r="C39" s="125"/>
      <c r="D39" s="126">
        <f>SUM(D36:D38)</f>
        <v>0</v>
      </c>
      <c r="E39" s="126">
        <f>SUM(E36:E38)</f>
        <v>0</v>
      </c>
      <c r="F39" s="126">
        <f>SUM(F36:F38)</f>
        <v>0</v>
      </c>
      <c r="G39" s="126">
        <f>SUM(G36:G38)</f>
        <v>0</v>
      </c>
      <c r="H39" s="126">
        <f>SUM(H36:H38)</f>
        <v>0</v>
      </c>
      <c r="I39" s="126">
        <f>SUM(I36:I38)</f>
        <v>0</v>
      </c>
    </row>
    <row r="40" spans="2:9">
      <c r="B40" s="51"/>
      <c r="C40" s="50"/>
      <c r="D40" s="44"/>
      <c r="E40" s="44"/>
      <c r="F40" s="44"/>
      <c r="G40" s="44"/>
      <c r="H40" s="44"/>
      <c r="I40" s="44"/>
    </row>
    <row r="41" spans="2:9" s="1" customFormat="1">
      <c r="B41" s="114" t="s">
        <v>109</v>
      </c>
      <c r="C41" s="115"/>
      <c r="D41" s="116">
        <f>D33-D39</f>
        <v>0</v>
      </c>
      <c r="E41" s="116">
        <f>E33-E39</f>
        <v>0</v>
      </c>
      <c r="F41" s="116">
        <f>F33-F39</f>
        <v>0</v>
      </c>
      <c r="G41" s="116">
        <f>G33-G39</f>
        <v>0</v>
      </c>
      <c r="H41" s="116">
        <f>H33-H39</f>
        <v>0</v>
      </c>
      <c r="I41" s="116">
        <f>I33-I39</f>
        <v>0</v>
      </c>
    </row>
    <row r="42" spans="2:9">
      <c r="B42" s="49" t="s">
        <v>112</v>
      </c>
      <c r="C42" s="52"/>
      <c r="D42" s="77" t="e">
        <f>D41/D33</f>
        <v>#DIV/0!</v>
      </c>
      <c r="E42" s="77" t="e">
        <f>E41/E33</f>
        <v>#DIV/0!</v>
      </c>
      <c r="F42" s="77" t="e">
        <f>F41/F33</f>
        <v>#DIV/0!</v>
      </c>
      <c r="G42" s="118" t="e">
        <f>G41/G33</f>
        <v>#DIV/0!</v>
      </c>
      <c r="H42" s="118" t="e">
        <f>H41/H33</f>
        <v>#DIV/0!</v>
      </c>
      <c r="I42" s="118" t="e">
        <f>I41/I33</f>
        <v>#DIV/0!</v>
      </c>
    </row>
    <row r="43" spans="2:7">
      <c r="B43" s="82"/>
      <c r="C43" s="82"/>
      <c r="D43" s="82"/>
      <c r="E43" s="82"/>
      <c r="F43" s="82"/>
      <c r="G43" s="28"/>
    </row>
    <row r="44" spans="2:9">
      <c r="B44" s="54" t="s">
        <v>47</v>
      </c>
      <c r="C44" s="55"/>
      <c r="D44" s="45" t="e">
        <f>D39/(D23+D24)</f>
        <v>#DIV/0!</v>
      </c>
      <c r="E44" s="45" t="e">
        <f>E39/(E23+E24)</f>
        <v>#DIV/0!</v>
      </c>
      <c r="F44" s="45" t="e">
        <f>F39/(F23+F24)</f>
        <v>#DIV/0!</v>
      </c>
      <c r="G44" s="45" t="e">
        <f>G39/(G23+G24)</f>
        <v>#DIV/0!</v>
      </c>
      <c r="H44" s="45" t="e">
        <f>H39/(H23+H24)</f>
        <v>#DIV/0!</v>
      </c>
      <c r="I44" s="45" t="e">
        <f>I39/(I23+I24)</f>
        <v>#DIV/0!</v>
      </c>
    </row>
    <row r="45" spans="2:7">
      <c r="B45" s="28"/>
      <c r="C45" s="28"/>
      <c r="D45" s="28"/>
      <c r="E45" s="28"/>
      <c r="F45" s="28"/>
      <c r="G45" s="28"/>
    </row>
    <row r="46" spans="2:7">
      <c r="B46" s="28"/>
      <c r="C46" s="28"/>
      <c r="D46" s="28"/>
      <c r="E46" s="28"/>
      <c r="F46" s="28"/>
      <c r="G46" s="28"/>
    </row>
    <row r="47" spans="2:7">
      <c r="B47" s="28"/>
      <c r="C47" s="28"/>
      <c r="D47" s="28"/>
      <c r="E47" s="28"/>
      <c r="F47" s="28"/>
      <c r="G47" s="28"/>
    </row>
    <row r="48" spans="2:9">
      <c r="B48" s="95" t="s">
        <v>50</v>
      </c>
      <c r="C48" s="96"/>
      <c r="D48" s="97"/>
      <c r="E48" s="97"/>
      <c r="F48" s="97"/>
      <c r="G48" s="97"/>
      <c r="H48" s="97"/>
      <c r="I48" s="97"/>
    </row>
    <row r="49" spans="2:9">
      <c r="B49" s="98" t="s">
        <v>53</v>
      </c>
      <c r="C49" s="99"/>
      <c r="D49" s="100"/>
      <c r="E49" s="100"/>
      <c r="F49" s="100"/>
      <c r="G49" s="100"/>
      <c r="H49" s="100"/>
      <c r="I49" s="100"/>
    </row>
    <row r="50" spans="2:9">
      <c r="B50" s="49"/>
      <c r="C50" s="50"/>
      <c r="D50" s="43"/>
      <c r="E50" s="43"/>
      <c r="F50" s="43"/>
      <c r="G50" s="43"/>
      <c r="H50" s="43"/>
      <c r="I50" s="43"/>
    </row>
    <row r="51" spans="2:9">
      <c r="B51" s="49" t="s">
        <v>51</v>
      </c>
      <c r="C51" s="50"/>
      <c r="D51" s="43"/>
      <c r="E51" s="43"/>
      <c r="F51" s="43"/>
      <c r="G51" s="43"/>
      <c r="H51" s="43"/>
      <c r="I51" s="43"/>
    </row>
    <row r="52" spans="2:9">
      <c r="B52" s="51" t="s">
        <v>58</v>
      </c>
      <c r="C52" s="50"/>
      <c r="D52" s="136"/>
      <c r="E52" s="46" t="e">
        <f>E66</f>
        <v>#DIV/0!</v>
      </c>
      <c r="F52" s="46" t="e">
        <f>F66</f>
        <v>#DIV/0!</v>
      </c>
      <c r="G52" s="46" t="e">
        <f>G66</f>
        <v>#DIV/0!</v>
      </c>
      <c r="H52" s="46" t="e">
        <f>H66</f>
        <v>#DIV/0!</v>
      </c>
      <c r="I52" s="46" t="e">
        <f>I66</f>
        <v>#DIV/0!</v>
      </c>
    </row>
    <row r="53" spans="2:9">
      <c r="B53" s="51" t="s">
        <v>73</v>
      </c>
      <c r="C53" s="50"/>
      <c r="D53" s="137"/>
      <c r="E53" s="47" t="e">
        <f>E67</f>
        <v>#DIV/0!</v>
      </c>
      <c r="F53" s="47" t="e">
        <f>F67</f>
        <v>#DIV/0!</v>
      </c>
      <c r="G53" s="47" t="e">
        <f>G67</f>
        <v>#DIV/0!</v>
      </c>
      <c r="H53" s="47" t="e">
        <f>H67</f>
        <v>#DIV/0!</v>
      </c>
      <c r="I53" s="47" t="e">
        <f>I67</f>
        <v>#DIV/0!</v>
      </c>
    </row>
    <row r="54" spans="2:9">
      <c r="B54" s="51" t="s">
        <v>72</v>
      </c>
      <c r="C54" s="50"/>
      <c r="D54" s="136"/>
      <c r="E54" s="46" t="e">
        <f>E68</f>
        <v>#DIV/0!</v>
      </c>
      <c r="F54" s="46" t="e">
        <f>F68</f>
        <v>#DIV/0!</v>
      </c>
      <c r="G54" s="46" t="e">
        <f>G68</f>
        <v>#DIV/0!</v>
      </c>
      <c r="H54" s="46" t="e">
        <f>H68</f>
        <v>#DIV/0!</v>
      </c>
      <c r="I54" s="46" t="e">
        <f>I68</f>
        <v>#DIV/0!</v>
      </c>
    </row>
    <row r="55" spans="2:9">
      <c r="B55" s="53" t="s">
        <v>74</v>
      </c>
      <c r="C55" s="50"/>
      <c r="D55" s="137"/>
      <c r="E55" s="47" t="e">
        <f>E69</f>
        <v>#DIV/0!</v>
      </c>
      <c r="F55" s="47" t="e">
        <f>F69</f>
        <v>#DIV/0!</v>
      </c>
      <c r="G55" s="47" t="e">
        <f>G69</f>
        <v>#DIV/0!</v>
      </c>
      <c r="H55" s="47" t="e">
        <f>H69</f>
        <v>#DIV/0!</v>
      </c>
      <c r="I55" s="47" t="e">
        <f>I69</f>
        <v>#DIV/0!</v>
      </c>
    </row>
    <row r="56" spans="2:9">
      <c r="B56" s="49"/>
      <c r="C56" s="50"/>
      <c r="D56" s="44"/>
      <c r="E56" s="44"/>
      <c r="F56" s="44"/>
      <c r="G56" s="44"/>
      <c r="H56" s="43"/>
      <c r="I56" s="43"/>
    </row>
    <row r="57" spans="2:9">
      <c r="B57" s="53"/>
      <c r="C57" s="50"/>
      <c r="D57" s="44"/>
      <c r="E57" s="44"/>
      <c r="F57" s="44"/>
      <c r="G57" s="44"/>
      <c r="H57" s="43"/>
      <c r="I57" s="43"/>
    </row>
    <row r="58" spans="2:9">
      <c r="B58" s="56"/>
      <c r="C58" s="57"/>
      <c r="D58" s="62"/>
      <c r="E58" s="62"/>
      <c r="F58" s="62"/>
      <c r="G58" s="62"/>
      <c r="H58" s="48"/>
      <c r="I58" s="48"/>
    </row>
    <row r="63" spans="2:11">
      <c r="B63" t="s">
        <v>132</v>
      </c>
      <c r="D63" s="32"/>
      <c r="E63" s="32" t="e">
        <f>SUM(E30:E31)/E23</f>
        <v>#DIV/0!</v>
      </c>
      <c r="F63" s="32" t="e">
        <f>SUM(F30:F31)/F23</f>
        <v>#DIV/0!</v>
      </c>
      <c r="G63" s="32" t="e">
        <f>SUM(G30:G31)/G23</f>
        <v>#DIV/0!</v>
      </c>
      <c r="H63" s="32" t="e">
        <f>SUM(H30:H31)/H23</f>
        <v>#DIV/0!</v>
      </c>
      <c r="I63" s="32" t="e">
        <f>SUM(I30:I31)/I23</f>
        <v>#DIV/0!</v>
      </c>
      <c r="J63" s="134"/>
      <c r="K63" s="134"/>
    </row>
    <row r="64" spans="2:11">
      <c r="B64" t="s">
        <v>133</v>
      </c>
      <c r="D64" s="32"/>
      <c r="E64" s="32" t="e">
        <f>E32/E24</f>
        <v>#DIV/0!</v>
      </c>
      <c r="F64" s="32" t="e">
        <f>F32/F24</f>
        <v>#DIV/0!</v>
      </c>
      <c r="G64" s="32" t="e">
        <f>G32/G24</f>
        <v>#DIV/0!</v>
      </c>
      <c r="H64" s="32" t="e">
        <f>H32/H24</f>
        <v>#DIV/0!</v>
      </c>
      <c r="I64" s="32" t="e">
        <f>I32/I24</f>
        <v>#DIV/0!</v>
      </c>
      <c r="J64" s="134"/>
      <c r="K64" s="134"/>
    </row>
    <row r="65" spans="2:11">
      <c r="B65" s="89" t="s">
        <v>134</v>
      </c>
      <c r="D65" s="32"/>
      <c r="E65" s="32" t="e">
        <f>E38/E25</f>
        <v>#DIV/0!</v>
      </c>
      <c r="F65" s="32" t="e">
        <f>F38/F25</f>
        <v>#DIV/0!</v>
      </c>
      <c r="G65" s="32" t="e">
        <f>G38/G25</f>
        <v>#DIV/0!</v>
      </c>
      <c r="H65" s="32" t="e">
        <f>H38/H25</f>
        <v>#DIV/0!</v>
      </c>
      <c r="I65" s="32" t="e">
        <f>I38/I25</f>
        <v>#DIV/0!</v>
      </c>
      <c r="J65" s="134"/>
      <c r="K65" s="134"/>
    </row>
    <row r="66" spans="2:11">
      <c r="B66" t="s">
        <v>58</v>
      </c>
      <c r="D66" s="32"/>
      <c r="E66" s="32" t="e">
        <f>E63-E65</f>
        <v>#DIV/0!</v>
      </c>
      <c r="F66" s="32" t="e">
        <f>F63-F65</f>
        <v>#DIV/0!</v>
      </c>
      <c r="G66" s="32" t="e">
        <f>G63-G65</f>
        <v>#DIV/0!</v>
      </c>
      <c r="H66" s="32" t="e">
        <f>H63-H65</f>
        <v>#DIV/0!</v>
      </c>
      <c r="I66" s="32" t="e">
        <f>I63-I65</f>
        <v>#DIV/0!</v>
      </c>
      <c r="J66" s="134"/>
      <c r="K66" s="134"/>
    </row>
    <row r="67" spans="2:11">
      <c r="B67" t="s">
        <v>135</v>
      </c>
      <c r="D67" s="32"/>
      <c r="E67" s="32" t="e">
        <f>E41/E66</f>
        <v>#DIV/0!</v>
      </c>
      <c r="F67" s="32" t="e">
        <f>F41/F66</f>
        <v>#DIV/0!</v>
      </c>
      <c r="G67" s="32" t="e">
        <f>G41/G66</f>
        <v>#DIV/0!</v>
      </c>
      <c r="H67" s="32" t="e">
        <f>H41/H66</f>
        <v>#DIV/0!</v>
      </c>
      <c r="I67" s="32" t="e">
        <f>I41/I66</f>
        <v>#DIV/0!</v>
      </c>
      <c r="J67" s="32"/>
      <c r="K67" s="32"/>
    </row>
    <row r="68" spans="2:11">
      <c r="B68" t="s">
        <v>72</v>
      </c>
      <c r="D68" s="32"/>
      <c r="E68" s="32" t="e">
        <f>E64-E65</f>
        <v>#DIV/0!</v>
      </c>
      <c r="F68" s="32" t="e">
        <f>F64-F65</f>
        <v>#DIV/0!</v>
      </c>
      <c r="G68" s="32" t="e">
        <f>G64-G65</f>
        <v>#DIV/0!</v>
      </c>
      <c r="H68" s="32" t="e">
        <f>H64-H65</f>
        <v>#DIV/0!</v>
      </c>
      <c r="I68" s="32" t="e">
        <f>I64-I65</f>
        <v>#DIV/0!</v>
      </c>
      <c r="J68" s="134"/>
      <c r="K68" s="134"/>
    </row>
    <row r="69" spans="2:11">
      <c r="B69" t="s">
        <v>136</v>
      </c>
      <c r="D69" s="32"/>
      <c r="E69" s="32" t="e">
        <f>E41/E68</f>
        <v>#DIV/0!</v>
      </c>
      <c r="F69" s="32" t="e">
        <f>F41/F68</f>
        <v>#DIV/0!</v>
      </c>
      <c r="G69" s="32" t="e">
        <f>G41/G68</f>
        <v>#DIV/0!</v>
      </c>
      <c r="H69" s="32" t="e">
        <f>H41/H68</f>
        <v>#DIV/0!</v>
      </c>
      <c r="I69" s="32" t="e">
        <f>I41/I68</f>
        <v>#DIV/0!</v>
      </c>
      <c r="J69" s="32"/>
      <c r="K69" s="32"/>
    </row>
  </sheetData>
  <mergeCells count="2">
    <mergeCell ref="E5:I5"/>
    <mergeCell ref="D27:I27"/>
  </mergeCells>
  <pageMargins left="0.70866141732283472" right="0.70866141732283472" top="0.74803149606299213" bottom="0.74803149606299213" header="0.31496062992125984" footer="0.31496062992125984"/>
  <pageSetup paperSize="9" scale="76" orientation="portrait"/>
  <headerFooter scaleWithDoc="1" alignWithMargins="1" differentFirst="0" differentOddEven="0">
    <oddHeader>&amp;R&amp;A</oddHeader>
    <oddFooter>&amp;L&amp;Z&amp;F&amp;R&amp;D</oddFooter>
  </headerFooter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</sheetPr>
  <dimension ref="A1:Q99"/>
  <sheetViews>
    <sheetView topLeftCell="A58" zoomScale="85" view="normal" workbookViewId="0">
      <selection pane="topLeft" activeCell="A88" sqref="A88"/>
    </sheetView>
  </sheetViews>
  <sheetFormatPr defaultRowHeight="15"/>
  <cols>
    <col min="1" max="1" width="76.75390625" bestFit="1" customWidth="1"/>
    <col min="2" max="2" width="7.125" bestFit="1" customWidth="1"/>
    <col min="3" max="3" width="8.00390625" bestFit="1" customWidth="1"/>
    <col min="4" max="4" width="6.25390625" customWidth="1"/>
    <col min="5" max="8" width="8.00390625" bestFit="1" customWidth="1"/>
    <col min="9" max="9" width="56.25390625" bestFit="1" customWidth="1"/>
    <col min="10" max="10" width="14.875" bestFit="1" customWidth="1"/>
    <col min="11" max="11" width="8.00390625" bestFit="1" customWidth="1"/>
    <col min="12" max="12" width="8.00390625" style="32" bestFit="1" customWidth="1"/>
    <col min="13" max="16" width="8.125" style="32" bestFit="1" customWidth="1"/>
  </cols>
  <sheetData>
    <row r="1" spans="1:16" s="26" customFormat="1" ht="42" customHeight="1">
      <c r="A1" s="109" t="s">
        <v>100</v>
      </c>
      <c r="L1" s="102"/>
      <c r="M1" s="102"/>
      <c r="N1" s="102"/>
      <c r="O1" s="102"/>
      <c r="P1" s="102"/>
    </row>
    <row r="2" spans="1:1">
      <c r="A2" s="108"/>
    </row>
    <row r="3" spans="1:1">
      <c r="A3" s="1" t="s">
        <v>26</v>
      </c>
    </row>
    <row r="4" spans="1:1" ht="18.75">
      <c r="A4" s="38" t="str">
        <f>Summary!A2</f>
        <v>Name of Course</v>
      </c>
    </row>
    <row r="5" spans="1:16" s="10" customFormat="1">
      <c r="A5" s="71"/>
      <c r="L5" s="90"/>
      <c r="M5" s="90"/>
      <c r="N5" s="90"/>
      <c r="O5" s="90"/>
      <c r="P5" s="90"/>
    </row>
    <row r="6" spans="1:16" s="10" customFormat="1" ht="18.75">
      <c r="A6" s="38" t="s">
        <v>99</v>
      </c>
      <c r="L6" s="90"/>
      <c r="M6" s="90"/>
      <c r="N6" s="90"/>
      <c r="O6" s="90"/>
      <c r="P6" s="90"/>
    </row>
    <row r="7" spans="1:16" s="10" customFormat="1">
      <c r="A7" s="71"/>
      <c r="L7" s="90"/>
      <c r="M7" s="90"/>
      <c r="N7" s="90"/>
      <c r="O7" s="90"/>
      <c r="P7" s="90"/>
    </row>
    <row r="8" spans="11:16">
      <c r="K8" s="306" t="s">
        <v>33</v>
      </c>
      <c r="L8" s="306"/>
      <c r="M8" s="306"/>
      <c r="N8" s="306"/>
      <c r="O8" s="306"/>
      <c r="P8" s="306"/>
    </row>
    <row r="9" spans="1:16" ht="15.75" thickBot="1">
      <c r="A9" s="23" t="s">
        <v>124</v>
      </c>
      <c r="B9" s="21"/>
      <c r="C9" s="24" t="str">
        <f>'Ideal Summary'!D6</f>
        <v>2020/21</v>
      </c>
      <c r="D9" s="24" t="str">
        <f>'Ideal Summary'!E6</f>
        <v>2021/22</v>
      </c>
      <c r="E9" s="24" t="str">
        <f>'Ideal Summary'!F6</f>
        <v>2022/23</v>
      </c>
      <c r="F9" s="24" t="str">
        <f>'Ideal Summary'!G6</f>
        <v>2023/24</v>
      </c>
      <c r="G9" s="24" t="str">
        <f>'Ideal Summary'!H6</f>
        <v>2024/25</v>
      </c>
      <c r="H9" s="24" t="str">
        <f>'Ideal Summary'!I6</f>
        <v>2025/26</v>
      </c>
      <c r="K9" s="141" t="str">
        <f>C9</f>
        <v>2020/21</v>
      </c>
      <c r="L9" s="141" t="str">
        <f>D9</f>
        <v>2021/22</v>
      </c>
      <c r="M9" s="141" t="str">
        <f>E9</f>
        <v>2022/23</v>
      </c>
      <c r="N9" s="141" t="str">
        <f>F9</f>
        <v>2023/24</v>
      </c>
      <c r="O9" s="141" t="str">
        <f>G9</f>
        <v>2024/25</v>
      </c>
      <c r="P9" s="141" t="str">
        <f>H9</f>
        <v>2025/26</v>
      </c>
    </row>
    <row r="10" spans="1:16" s="108" customFormat="1">
      <c r="A10" s="27" t="s">
        <v>66</v>
      </c>
      <c r="B10" s="21"/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129"/>
      <c r="K10" s="130">
        <f>C10*'Ideal Summary'!$C$9</f>
        <v>0</v>
      </c>
      <c r="L10" s="130">
        <f>D10*'Ideal Summary'!$C$9</f>
        <v>0</v>
      </c>
      <c r="M10" s="130">
        <f>E10*'Ideal Summary'!$C$9</f>
        <v>0</v>
      </c>
      <c r="N10" s="130">
        <f>F10*'Ideal Summary'!$C$9</f>
        <v>0</v>
      </c>
      <c r="O10" s="130">
        <f>G10*'Ideal Summary'!$C$9</f>
        <v>0</v>
      </c>
      <c r="P10" s="130">
        <f>H10*'Ideal Summary'!$C$9</f>
        <v>0</v>
      </c>
    </row>
    <row r="11" spans="1:16" s="108" customFormat="1">
      <c r="A11" s="27" t="s">
        <v>120</v>
      </c>
      <c r="B11" s="21"/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129"/>
      <c r="K11" s="130">
        <f>C11*'Ideal Summary'!$C$10</f>
        <v>0</v>
      </c>
      <c r="L11" s="130">
        <f>D11*'Ideal Summary'!$C$10</f>
        <v>0</v>
      </c>
      <c r="M11" s="130">
        <f>E11*'Ideal Summary'!$C$10</f>
        <v>0</v>
      </c>
      <c r="N11" s="130">
        <f>F11*'Ideal Summary'!$C$10</f>
        <v>0</v>
      </c>
      <c r="O11" s="130">
        <f>G11*'Ideal Summary'!$C$10</f>
        <v>0</v>
      </c>
      <c r="P11" s="130">
        <f>H11*'Ideal Summary'!$C$10</f>
        <v>0</v>
      </c>
    </row>
    <row r="12" spans="1:16" s="108" customFormat="1">
      <c r="A12" s="27" t="s">
        <v>121</v>
      </c>
      <c r="B12" s="21"/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129"/>
      <c r="K12" s="130">
        <f>C12*'Ideal Summary'!$C$10</f>
        <v>0</v>
      </c>
      <c r="L12" s="130">
        <f>D12*'Ideal Summary'!$C$10</f>
        <v>0</v>
      </c>
      <c r="M12" s="130">
        <f>E12*'Ideal Summary'!$C$10</f>
        <v>0</v>
      </c>
      <c r="N12" s="130">
        <f>F12*'Ideal Summary'!$C$10</f>
        <v>0</v>
      </c>
      <c r="O12" s="130">
        <f>G12*'Ideal Summary'!$C$10</f>
        <v>0</v>
      </c>
      <c r="P12" s="130">
        <f>H12*'Ideal Summary'!$C$10</f>
        <v>0</v>
      </c>
    </row>
    <row r="13" spans="1:16">
      <c r="A13" s="29" t="s">
        <v>119</v>
      </c>
      <c r="B13" s="21"/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10"/>
      <c r="K13" s="130">
        <f>C13*'Ideal Summary'!$C$11</f>
        <v>0</v>
      </c>
      <c r="L13" s="130">
        <f>D13*'Ideal Summary'!$C$11</f>
        <v>0</v>
      </c>
      <c r="M13" s="130">
        <f>E13*'Ideal Summary'!$C$11</f>
        <v>0</v>
      </c>
      <c r="N13" s="130">
        <f>F13*'Ideal Summary'!$C$11</f>
        <v>0</v>
      </c>
      <c r="O13" s="130">
        <f>G13*'Ideal Summary'!$C$11</f>
        <v>0</v>
      </c>
      <c r="P13" s="130">
        <f>H13*'Ideal Summary'!$C$11</f>
        <v>0</v>
      </c>
    </row>
    <row r="14" spans="1:16">
      <c r="A14" s="27" t="s">
        <v>57</v>
      </c>
      <c r="B14" s="21"/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10"/>
      <c r="K14" s="32">
        <f>C14*'Ideal Summary'!$C$12</f>
        <v>0</v>
      </c>
      <c r="L14" s="32">
        <f>D14*'Ideal Summary'!$C$12</f>
        <v>0</v>
      </c>
      <c r="M14" s="32">
        <f>E14*'Ideal Summary'!$C$12</f>
        <v>0</v>
      </c>
      <c r="N14" s="32">
        <f>F14*'Ideal Summary'!$C$12</f>
        <v>0</v>
      </c>
      <c r="O14" s="32">
        <f>G14*'Ideal Summary'!$C$12</f>
        <v>0</v>
      </c>
      <c r="P14" s="32">
        <f>H14*'Ideal Summary'!$C$12</f>
        <v>0</v>
      </c>
    </row>
    <row r="15" spans="1:16">
      <c r="A15" s="29" t="s">
        <v>71</v>
      </c>
      <c r="B15" s="21"/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10"/>
      <c r="K15" s="32">
        <f>C15*'Ideal Summary'!$C$13</f>
        <v>0</v>
      </c>
      <c r="L15" s="32">
        <f>(D15*0*3000)+(D15*1500)</f>
        <v>0</v>
      </c>
      <c r="M15" s="32">
        <f>(E15*0.25*3000)+(E15*0.75*(1500))</f>
        <v>0</v>
      </c>
      <c r="N15" s="32">
        <f>(F15*0.25*3000)+(F15*0.75*(1500))</f>
        <v>0</v>
      </c>
      <c r="O15" s="32">
        <f>(G15*0.25*3000)+(G15*0.75*(1500))</f>
        <v>0</v>
      </c>
      <c r="P15" s="32">
        <f>(H15*0.25*3000)+(H15*0.75*(1500))</f>
        <v>0</v>
      </c>
    </row>
    <row r="16" spans="1:16">
      <c r="A16" s="27" t="s">
        <v>122</v>
      </c>
      <c r="B16" s="21"/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10"/>
      <c r="K16" s="32">
        <f>C16*'Ideal Summary'!$C$14</f>
        <v>0</v>
      </c>
      <c r="L16" s="32">
        <f>D16*'Ideal Summary'!$C$14</f>
        <v>0</v>
      </c>
      <c r="M16" s="32">
        <f>E16*'Ideal Summary'!$C$14</f>
        <v>0</v>
      </c>
      <c r="N16" s="32">
        <f>F16*'Ideal Summary'!$C$14</f>
        <v>0</v>
      </c>
      <c r="O16" s="32">
        <f>G16*'Ideal Summary'!$C$14</f>
        <v>0</v>
      </c>
      <c r="P16" s="32">
        <f>H16*'Ideal Summary'!$C$14</f>
        <v>0</v>
      </c>
    </row>
    <row r="17" spans="1:16">
      <c r="A17" s="27" t="s">
        <v>81</v>
      </c>
      <c r="B17" s="21"/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10"/>
      <c r="K17" s="32">
        <f>C17*'Ideal Summary'!$C$15</f>
        <v>0</v>
      </c>
      <c r="L17" s="32">
        <f>D17*'Ideal Summary'!$C$15</f>
        <v>0</v>
      </c>
      <c r="M17" s="32">
        <f>E17*'Ideal Summary'!$C$15</f>
        <v>0</v>
      </c>
      <c r="N17" s="32">
        <f>F17*'Ideal Summary'!$C$15</f>
        <v>0</v>
      </c>
      <c r="O17" s="32">
        <f>G17*'Ideal Summary'!$C$15</f>
        <v>0</v>
      </c>
      <c r="P17" s="32">
        <f>H17*'Ideal Summary'!$C$15</f>
        <v>0</v>
      </c>
    </row>
    <row r="18" spans="1:16">
      <c r="A18" s="27" t="s">
        <v>82</v>
      </c>
      <c r="B18" s="21"/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10"/>
      <c r="K18" s="32">
        <f>C18*'Ideal Summary'!$C$15</f>
        <v>0</v>
      </c>
      <c r="L18" s="32">
        <f>D18*'Ideal Summary'!$C$15</f>
        <v>0</v>
      </c>
      <c r="M18" s="32">
        <f>E18*'Ideal Summary'!$C$15</f>
        <v>0</v>
      </c>
      <c r="N18" s="32">
        <f>F18*'Ideal Summary'!$C$15</f>
        <v>0</v>
      </c>
      <c r="O18" s="32">
        <f>G18*'Ideal Summary'!$C$15</f>
        <v>0</v>
      </c>
      <c r="P18" s="32">
        <f>H18*'Ideal Summary'!$C$15</f>
        <v>0</v>
      </c>
    </row>
    <row r="19" spans="1:16">
      <c r="A19" s="27" t="s">
        <v>83</v>
      </c>
      <c r="B19" s="21"/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10"/>
      <c r="K19" s="32">
        <f>C19*'Ideal Summary'!$C$15</f>
        <v>0</v>
      </c>
      <c r="L19" s="32">
        <f>D19*'Ideal Summary'!$C$15</f>
        <v>0</v>
      </c>
      <c r="M19" s="32">
        <f>E19*'Ideal Summary'!$C$15</f>
        <v>0</v>
      </c>
      <c r="N19" s="32">
        <f>F19*'Ideal Summary'!$C$15</f>
        <v>0</v>
      </c>
      <c r="O19" s="32">
        <f>G19*'Ideal Summary'!$C$15</f>
        <v>0</v>
      </c>
      <c r="P19" s="32">
        <f>H19*'Ideal Summary'!$C$15</f>
        <v>0</v>
      </c>
    </row>
    <row r="20" spans="1:16">
      <c r="A20" s="29" t="s">
        <v>126</v>
      </c>
      <c r="B20" s="21"/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10"/>
      <c r="K20" s="32">
        <f>C20*'Ideal Summary'!$C$15</f>
        <v>0</v>
      </c>
      <c r="L20" s="32">
        <f>D20*'Ideal Summary'!$C$15</f>
        <v>0</v>
      </c>
      <c r="M20" s="32">
        <f>E20*'Ideal Summary'!$C$15</f>
        <v>0</v>
      </c>
      <c r="N20" s="32">
        <f>F20*'Ideal Summary'!$C$15</f>
        <v>0</v>
      </c>
      <c r="O20" s="32">
        <f>G20*'Ideal Summary'!$C$15</f>
        <v>0</v>
      </c>
      <c r="P20" s="32">
        <f>H20*'Ideal Summary'!$C$15</f>
        <v>0</v>
      </c>
    </row>
    <row r="21" spans="1:16">
      <c r="A21" s="27" t="s">
        <v>84</v>
      </c>
      <c r="B21" s="21"/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10"/>
      <c r="K21" s="32">
        <f>C21*'Ideal Summary'!$C$15</f>
        <v>0</v>
      </c>
      <c r="L21" s="32">
        <f>D21*'Ideal Summary'!$C$15</f>
        <v>0</v>
      </c>
      <c r="M21" s="32">
        <f>E21*'Ideal Summary'!$C$15</f>
        <v>0</v>
      </c>
      <c r="N21" s="32">
        <f>F21*'Ideal Summary'!$C$15</f>
        <v>0</v>
      </c>
      <c r="O21" s="32">
        <f>G21*'Ideal Summary'!$C$15</f>
        <v>0</v>
      </c>
      <c r="P21" s="32">
        <f>H21*'Ideal Summary'!$C$15</f>
        <v>0</v>
      </c>
    </row>
    <row r="22" spans="1:16">
      <c r="A22" s="29" t="s">
        <v>94</v>
      </c>
      <c r="B22" s="21"/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10"/>
      <c r="K22" s="32">
        <f>C22*'Ideal Summary'!$C$15</f>
        <v>0</v>
      </c>
      <c r="L22" s="32">
        <f>D22*'Ideal Summary'!$C$15</f>
        <v>0</v>
      </c>
      <c r="M22" s="32">
        <f>E22*'Ideal Summary'!$C$15</f>
        <v>0</v>
      </c>
      <c r="N22" s="32">
        <f>F22*'Ideal Summary'!$C$15</f>
        <v>0</v>
      </c>
      <c r="O22" s="32">
        <f>G22*'Ideal Summary'!$C$15</f>
        <v>0</v>
      </c>
      <c r="P22" s="32">
        <f>H22*'Ideal Summary'!$C$15</f>
        <v>0</v>
      </c>
    </row>
    <row r="23" spans="1:16">
      <c r="A23" s="27" t="s">
        <v>123</v>
      </c>
      <c r="B23" s="21"/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10"/>
      <c r="K23" s="32">
        <f>C23*'Ideal Summary'!$C$15</f>
        <v>0</v>
      </c>
      <c r="L23" s="32">
        <f>D23*'Ideal Summary'!$C$15</f>
        <v>0</v>
      </c>
      <c r="M23" s="32">
        <f>E23*'Ideal Summary'!$C$15</f>
        <v>0</v>
      </c>
      <c r="N23" s="32">
        <f>F23*'Ideal Summary'!$C$15</f>
        <v>0</v>
      </c>
      <c r="O23" s="32">
        <f>G23*'Ideal Summary'!$C$15</f>
        <v>0</v>
      </c>
      <c r="P23" s="32">
        <f>H23*'Ideal Summary'!$C$15</f>
        <v>0</v>
      </c>
    </row>
    <row r="24" spans="1:11">
      <c r="A24" s="27"/>
      <c r="B24" s="21"/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10"/>
      <c r="K24" s="90"/>
    </row>
    <row r="25" spans="1:16" ht="15.75" thickBot="1">
      <c r="A25" s="29" t="s">
        <v>130</v>
      </c>
      <c r="B25" s="21"/>
      <c r="C25" s="75">
        <f>SUM(C10:C24)</f>
        <v>0</v>
      </c>
      <c r="D25" s="75">
        <f>SUM(D10:D24)</f>
        <v>0</v>
      </c>
      <c r="E25" s="75">
        <f>SUM(E10:E24)</f>
        <v>0</v>
      </c>
      <c r="F25" s="75">
        <f>SUM(F10:F24)</f>
        <v>0</v>
      </c>
      <c r="G25" s="75">
        <f>SUM(G10:G24)</f>
        <v>0</v>
      </c>
      <c r="H25" s="75">
        <f>SUM(H10:H24)</f>
        <v>0</v>
      </c>
      <c r="I25" s="10"/>
      <c r="K25" s="174">
        <f>SUM(K10:K23)</f>
        <v>0</v>
      </c>
      <c r="L25" s="105">
        <f>SUM(L10:L23)</f>
        <v>0</v>
      </c>
      <c r="M25" s="105">
        <f>SUM(M10:M23)</f>
        <v>0</v>
      </c>
      <c r="N25" s="105">
        <f>SUM(N10:N23)</f>
        <v>0</v>
      </c>
      <c r="O25" s="105">
        <f>SUM(O10:O23)</f>
        <v>0</v>
      </c>
      <c r="P25" s="105">
        <f>SUM(P10:P23)</f>
        <v>0</v>
      </c>
    </row>
    <row r="26" spans="1:9" ht="15.75" thickTop="1">
      <c r="A26" s="30" t="s">
        <v>61</v>
      </c>
      <c r="C26" s="83">
        <f>SUM(C33,C36,C37,C38)</f>
        <v>0</v>
      </c>
      <c r="D26" s="83">
        <f>SUM(D33,D36,D37,D38)</f>
        <v>0</v>
      </c>
      <c r="E26" s="83">
        <f>SUM(E33,E36,E37,E38)</f>
        <v>0</v>
      </c>
      <c r="F26" s="83">
        <f>SUM(F33,F36,F37,F38)</f>
        <v>0</v>
      </c>
      <c r="G26" s="83">
        <f>SUM(G33,G36,G37,G38)</f>
        <v>0</v>
      </c>
      <c r="H26" s="83">
        <f>SUM(H33,H36,H37,H38)</f>
        <v>0</v>
      </c>
      <c r="I26" s="10"/>
    </row>
    <row r="27" spans="1:9">
      <c r="A27" s="30" t="s">
        <v>62</v>
      </c>
      <c r="C27" s="83">
        <f>SUM(C40,C43,C44,C45)</f>
        <v>0</v>
      </c>
      <c r="D27" s="83">
        <f>SUM(D40,D43,D44,D45)</f>
        <v>0</v>
      </c>
      <c r="E27" s="83">
        <f>SUM(E40,E43,E44,E45)</f>
        <v>0</v>
      </c>
      <c r="F27" s="83">
        <f>SUM(F40,F43,F44,F45)</f>
        <v>0</v>
      </c>
      <c r="G27" s="83">
        <f>SUM(G40,G43,G44,G45)</f>
        <v>0</v>
      </c>
      <c r="H27" s="83">
        <f>SUM(H40,H43,H44,H45)</f>
        <v>0</v>
      </c>
      <c r="I27" s="10"/>
    </row>
    <row r="28" spans="1:9">
      <c r="A28" s="30" t="s">
        <v>63</v>
      </c>
      <c r="C28" s="83">
        <f>SUM(C34,C35,C39,C46)</f>
        <v>0</v>
      </c>
      <c r="D28" s="83">
        <f>SUM(D34,D35,D39,D46)</f>
        <v>0</v>
      </c>
      <c r="E28" s="83">
        <f>SUM(E34,E35,E39,E46)</f>
        <v>0</v>
      </c>
      <c r="F28" s="83">
        <f>SUM(F34,F35,F39,F46)</f>
        <v>0</v>
      </c>
      <c r="G28" s="83">
        <f>SUM(G34,G35,G39,G46)</f>
        <v>0</v>
      </c>
      <c r="H28" s="83">
        <f>SUM(H34,H35,H39,H46)</f>
        <v>0</v>
      </c>
      <c r="I28" s="10"/>
    </row>
    <row r="29" spans="1:9">
      <c r="A29" s="31" t="s">
        <v>131</v>
      </c>
      <c r="B29" s="21"/>
      <c r="C29" s="84">
        <f>SUM(C26:C28)</f>
        <v>0</v>
      </c>
      <c r="D29" s="84">
        <f>SUM(D26:D28)</f>
        <v>0</v>
      </c>
      <c r="E29" s="84">
        <f>SUM(E26:E28)</f>
        <v>0</v>
      </c>
      <c r="F29" s="84">
        <f>SUM(F26:F28)</f>
        <v>0</v>
      </c>
      <c r="G29" s="84">
        <f>SUM(G26:G28)</f>
        <v>0</v>
      </c>
      <c r="H29" s="84">
        <f>SUM(H26:H28)</f>
        <v>0</v>
      </c>
      <c r="I29" s="10"/>
    </row>
    <row r="30" spans="1:10">
      <c r="A30" s="63"/>
      <c r="C30" s="39"/>
      <c r="D30" s="39"/>
      <c r="E30" s="39"/>
      <c r="F30" s="39"/>
      <c r="G30" s="39"/>
      <c r="H30" s="39"/>
      <c r="J30" t="s">
        <v>310</v>
      </c>
    </row>
    <row r="31" spans="1:16">
      <c r="A31" s="21"/>
      <c r="B31" s="40"/>
      <c r="C31" s="40"/>
      <c r="D31" s="40"/>
      <c r="E31" s="40"/>
      <c r="F31" s="39"/>
      <c r="G31" s="39"/>
      <c r="H31" s="39"/>
      <c r="K31" s="306" t="s">
        <v>153</v>
      </c>
      <c r="L31" s="306"/>
      <c r="M31" s="306"/>
      <c r="N31" s="306"/>
      <c r="O31" s="306"/>
      <c r="P31" s="306"/>
    </row>
    <row r="32" spans="1:16" ht="15.75" thickBot="1">
      <c r="A32" s="23" t="s">
        <v>125</v>
      </c>
      <c r="B32" s="22" t="s">
        <v>43</v>
      </c>
      <c r="C32" s="40"/>
      <c r="D32" s="40"/>
      <c r="F32" s="39"/>
      <c r="G32" s="39"/>
      <c r="H32" s="39"/>
      <c r="K32" s="141" t="str">
        <f>K9</f>
        <v>2020/21</v>
      </c>
      <c r="L32" s="141" t="str">
        <f>L9</f>
        <v>2021/22</v>
      </c>
      <c r="M32" s="141" t="str">
        <f>M9</f>
        <v>2022/23</v>
      </c>
      <c r="N32" s="141" t="str">
        <f>N9</f>
        <v>2023/24</v>
      </c>
      <c r="O32" s="141" t="str">
        <f>O9</f>
        <v>2024/25</v>
      </c>
      <c r="P32" s="141" t="str">
        <f>P9</f>
        <v>2025/26</v>
      </c>
    </row>
    <row r="33" spans="1:16">
      <c r="A33" s="27" t="s">
        <v>66</v>
      </c>
      <c r="B33" s="85">
        <v>1</v>
      </c>
      <c r="C33" s="85">
        <f>C10*$B33</f>
        <v>0</v>
      </c>
      <c r="D33" s="85">
        <f>D10*$B33</f>
        <v>0</v>
      </c>
      <c r="E33" s="85">
        <f>E10*$B33</f>
        <v>0</v>
      </c>
      <c r="F33" s="85">
        <f>F10*$B33</f>
        <v>0</v>
      </c>
      <c r="G33" s="85">
        <f>G10*$B33</f>
        <v>0</v>
      </c>
      <c r="H33" s="85">
        <f>H10*$B33</f>
        <v>0</v>
      </c>
      <c r="J33" s="298"/>
      <c r="K33" s="90"/>
      <c r="L33" s="90">
        <f>C33*$J$33</f>
        <v>0</v>
      </c>
      <c r="M33" s="90">
        <f>D33*$J$33</f>
        <v>0</v>
      </c>
      <c r="N33" s="90">
        <f>E33*$J$33</f>
        <v>0</v>
      </c>
      <c r="O33" s="90">
        <f>F33*$J$33</f>
        <v>0</v>
      </c>
      <c r="P33" s="90">
        <f>G33*$J$33</f>
        <v>0</v>
      </c>
    </row>
    <row r="34" spans="1:16">
      <c r="A34" s="27" t="s">
        <v>120</v>
      </c>
      <c r="B34" s="85">
        <v>0.5</v>
      </c>
      <c r="C34" s="85">
        <f>C11*$B34</f>
        <v>0</v>
      </c>
      <c r="D34" s="85">
        <f>D11*$B34</f>
        <v>0</v>
      </c>
      <c r="E34" s="85">
        <f>E11*$B34</f>
        <v>0</v>
      </c>
      <c r="F34" s="85">
        <f>F11*$B34</f>
        <v>0</v>
      </c>
      <c r="G34" s="85">
        <f>G11*$B34</f>
        <v>0</v>
      </c>
      <c r="H34" s="85">
        <f>H11*$B34</f>
        <v>0</v>
      </c>
      <c r="J34" s="299"/>
      <c r="K34" s="90"/>
      <c r="L34" s="90">
        <f>C34*$J$33</f>
        <v>0</v>
      </c>
      <c r="M34" s="90">
        <f>D34*$J$33</f>
        <v>0</v>
      </c>
      <c r="N34" s="90">
        <f>E34*$J$33</f>
        <v>0</v>
      </c>
      <c r="O34" s="90">
        <f>F34*$J$33</f>
        <v>0</v>
      </c>
      <c r="P34" s="90">
        <f>G34*$J$33</f>
        <v>0</v>
      </c>
    </row>
    <row r="35" spans="1:16">
      <c r="A35" s="27" t="s">
        <v>121</v>
      </c>
      <c r="B35" s="85">
        <v>0.5</v>
      </c>
      <c r="C35" s="85">
        <f>C12*$B35</f>
        <v>0</v>
      </c>
      <c r="D35" s="85">
        <f>D12*$B35</f>
        <v>0</v>
      </c>
      <c r="E35" s="85">
        <f>E12*$B35</f>
        <v>0</v>
      </c>
      <c r="F35" s="85">
        <f>F12*$B35</f>
        <v>0</v>
      </c>
      <c r="G35" s="85">
        <f>G12*$B35</f>
        <v>0</v>
      </c>
      <c r="H35" s="85">
        <f>H12*$B35</f>
        <v>0</v>
      </c>
      <c r="J35" s="299"/>
      <c r="K35" s="90"/>
      <c r="L35" s="90">
        <f>C35*$J$33</f>
        <v>0</v>
      </c>
      <c r="M35" s="90">
        <f>D35*$J$33</f>
        <v>0</v>
      </c>
      <c r="N35" s="90">
        <f>E35*$J$33</f>
        <v>0</v>
      </c>
      <c r="O35" s="90">
        <f>F35*$J$33</f>
        <v>0</v>
      </c>
      <c r="P35" s="90">
        <f>G35*$J$33</f>
        <v>0</v>
      </c>
    </row>
    <row r="36" spans="1:16">
      <c r="A36" s="29" t="s">
        <v>119</v>
      </c>
      <c r="B36" s="85">
        <v>1</v>
      </c>
      <c r="C36" s="85">
        <f>C13*$B36</f>
        <v>0</v>
      </c>
      <c r="D36" s="85">
        <f>D13*$B36</f>
        <v>0</v>
      </c>
      <c r="E36" s="85">
        <f>E13*$B36</f>
        <v>0</v>
      </c>
      <c r="F36" s="85">
        <f>F13*$B36</f>
        <v>0</v>
      </c>
      <c r="G36" s="85">
        <f>G13*$B36</f>
        <v>0</v>
      </c>
      <c r="H36" s="85">
        <f>H13*$B36</f>
        <v>0</v>
      </c>
      <c r="J36" s="299"/>
      <c r="K36" s="90"/>
      <c r="L36" s="90">
        <f>C36*$J$33</f>
        <v>0</v>
      </c>
      <c r="M36" s="90">
        <f>D36*$J$33</f>
        <v>0</v>
      </c>
      <c r="N36" s="90">
        <f>E36*$J$33</f>
        <v>0</v>
      </c>
      <c r="O36" s="90">
        <f>F36*$J$33</f>
        <v>0</v>
      </c>
      <c r="P36" s="90">
        <f>G36*$J$33</f>
        <v>0</v>
      </c>
    </row>
    <row r="37" spans="1:16">
      <c r="A37" s="27" t="s">
        <v>57</v>
      </c>
      <c r="B37" s="85">
        <v>0.67</v>
      </c>
      <c r="C37" s="85">
        <f>C14*$B37</f>
        <v>0</v>
      </c>
      <c r="D37" s="85">
        <f>D14*$B37</f>
        <v>0</v>
      </c>
      <c r="E37" s="85">
        <f>E14*$B37</f>
        <v>0</v>
      </c>
      <c r="F37" s="85">
        <f>F14*$B37</f>
        <v>0</v>
      </c>
      <c r="G37" s="85">
        <f>G14*$B37</f>
        <v>0</v>
      </c>
      <c r="H37" s="85">
        <f>H14*$B37</f>
        <v>0</v>
      </c>
      <c r="K37" s="90"/>
      <c r="L37" s="90"/>
      <c r="M37" s="90"/>
      <c r="N37" s="90"/>
      <c r="O37" s="90"/>
      <c r="P37" s="90"/>
    </row>
    <row r="38" spans="1:16">
      <c r="A38" s="29" t="s">
        <v>71</v>
      </c>
      <c r="B38" s="85">
        <v>0.33</v>
      </c>
      <c r="C38" s="85">
        <f>C15*$B38</f>
        <v>0</v>
      </c>
      <c r="D38" s="85">
        <f>D15*$B38</f>
        <v>0</v>
      </c>
      <c r="E38" s="85">
        <f>E15*$B38</f>
        <v>0</v>
      </c>
      <c r="F38" s="85">
        <f>F15*$B38</f>
        <v>0</v>
      </c>
      <c r="G38" s="85">
        <f>G15*$B38</f>
        <v>0</v>
      </c>
      <c r="H38" s="85">
        <f>H15*$B38</f>
        <v>0</v>
      </c>
      <c r="K38" s="90"/>
      <c r="L38" s="90"/>
      <c r="M38" s="90"/>
      <c r="N38" s="90"/>
      <c r="O38" s="90"/>
      <c r="P38" s="90"/>
    </row>
    <row r="39" spans="1:16">
      <c r="A39" s="27" t="s">
        <v>122</v>
      </c>
      <c r="B39" s="85">
        <f>15/180</f>
        <v>0.083333333333333329</v>
      </c>
      <c r="C39" s="85">
        <f>C16*$B39</f>
        <v>0</v>
      </c>
      <c r="D39" s="85">
        <f>D16*$B39</f>
        <v>0</v>
      </c>
      <c r="E39" s="85">
        <f>E16*$B39</f>
        <v>0</v>
      </c>
      <c r="F39" s="85">
        <f>F16*$B39</f>
        <v>0</v>
      </c>
      <c r="G39" s="85">
        <f>G16*$B39</f>
        <v>0</v>
      </c>
      <c r="H39" s="85">
        <f>H16*$B39</f>
        <v>0</v>
      </c>
      <c r="K39" s="90"/>
      <c r="L39" s="90"/>
      <c r="M39" s="90"/>
      <c r="N39" s="90"/>
      <c r="O39" s="90"/>
      <c r="P39" s="90"/>
    </row>
    <row r="40" spans="1:16">
      <c r="A40" s="27" t="s">
        <v>81</v>
      </c>
      <c r="B40" s="85">
        <v>1</v>
      </c>
      <c r="C40" s="85">
        <f>C17*$B40</f>
        <v>0</v>
      </c>
      <c r="D40" s="85">
        <f>D17*$B40</f>
        <v>0</v>
      </c>
      <c r="E40" s="85">
        <f>E17*$B40</f>
        <v>0</v>
      </c>
      <c r="F40" s="85">
        <f>F17*$B40</f>
        <v>0</v>
      </c>
      <c r="G40" s="85">
        <f>G17*$B40</f>
        <v>0</v>
      </c>
      <c r="H40" s="85">
        <f>H17*$B40</f>
        <v>0</v>
      </c>
      <c r="K40" s="90"/>
      <c r="L40" s="90"/>
      <c r="M40" s="90"/>
      <c r="N40" s="90"/>
      <c r="O40" s="90"/>
      <c r="P40" s="90"/>
    </row>
    <row r="41" spans="1:16">
      <c r="A41" s="27" t="s">
        <v>82</v>
      </c>
      <c r="B41" s="85">
        <f>B37</f>
        <v>0.67</v>
      </c>
      <c r="C41" s="85">
        <f>C18*$B41</f>
        <v>0</v>
      </c>
      <c r="D41" s="85">
        <f>D18*$B41</f>
        <v>0</v>
      </c>
      <c r="E41" s="85">
        <f>E18*$B41</f>
        <v>0</v>
      </c>
      <c r="F41" s="85">
        <f>F18*$B41</f>
        <v>0</v>
      </c>
      <c r="G41" s="85">
        <f>G18*$B41</f>
        <v>0</v>
      </c>
      <c r="H41" s="85">
        <f>H18*$B41</f>
        <v>0</v>
      </c>
      <c r="K41" s="90"/>
      <c r="L41" s="90"/>
      <c r="M41" s="90"/>
      <c r="N41" s="90"/>
      <c r="O41" s="90"/>
      <c r="P41" s="90"/>
    </row>
    <row r="42" spans="1:16">
      <c r="A42" s="27" t="s">
        <v>83</v>
      </c>
      <c r="B42" s="85">
        <f>B38</f>
        <v>0.33</v>
      </c>
      <c r="C42" s="85">
        <f>C19*$B42</f>
        <v>0</v>
      </c>
      <c r="D42" s="85">
        <f>D19*$B42</f>
        <v>0</v>
      </c>
      <c r="E42" s="85">
        <f>E19*$B42</f>
        <v>0</v>
      </c>
      <c r="F42" s="85">
        <f>F19*$B42</f>
        <v>0</v>
      </c>
      <c r="G42" s="85">
        <f>G19*$B42</f>
        <v>0</v>
      </c>
      <c r="H42" s="85">
        <f>H19*$B42</f>
        <v>0</v>
      </c>
      <c r="K42" s="90"/>
      <c r="L42" s="90"/>
      <c r="M42" s="90"/>
      <c r="N42" s="90"/>
      <c r="O42" s="90"/>
      <c r="P42" s="90"/>
    </row>
    <row r="43" spans="1:16">
      <c r="A43" s="29" t="s">
        <v>126</v>
      </c>
      <c r="B43" s="85">
        <v>1</v>
      </c>
      <c r="C43" s="85">
        <f>C20*$B43</f>
        <v>0</v>
      </c>
      <c r="D43" s="85">
        <f>D20*$B43</f>
        <v>0</v>
      </c>
      <c r="E43" s="85">
        <f>E20*$B43</f>
        <v>0</v>
      </c>
      <c r="F43" s="85">
        <f>F20*$B43</f>
        <v>0</v>
      </c>
      <c r="G43" s="85">
        <f>G20*$B43</f>
        <v>0</v>
      </c>
      <c r="H43" s="85">
        <f>H20*$B43</f>
        <v>0</v>
      </c>
      <c r="K43" s="90"/>
      <c r="L43" s="90"/>
      <c r="M43" s="90"/>
      <c r="N43" s="90"/>
      <c r="O43" s="90"/>
      <c r="P43" s="90"/>
    </row>
    <row r="44" spans="1:16">
      <c r="A44" s="27" t="s">
        <v>95</v>
      </c>
      <c r="B44" s="85">
        <v>0.67</v>
      </c>
      <c r="C44" s="85">
        <f>C21*$B44</f>
        <v>0</v>
      </c>
      <c r="D44" s="85">
        <f>D21*$B44</f>
        <v>0</v>
      </c>
      <c r="E44" s="85">
        <f>E21*$B44</f>
        <v>0</v>
      </c>
      <c r="F44" s="85">
        <f>F21*$B44</f>
        <v>0</v>
      </c>
      <c r="G44" s="85">
        <f>G21*$B44</f>
        <v>0</v>
      </c>
      <c r="H44" s="85">
        <f>H21*$B44</f>
        <v>0</v>
      </c>
      <c r="K44" s="90"/>
      <c r="L44" s="90"/>
      <c r="M44" s="90"/>
      <c r="N44" s="90"/>
      <c r="O44" s="90"/>
      <c r="P44" s="90"/>
    </row>
    <row r="45" spans="1:16">
      <c r="A45" s="29" t="s">
        <v>94</v>
      </c>
      <c r="B45" s="85">
        <v>0.33</v>
      </c>
      <c r="C45" s="85">
        <f>C22*$B45</f>
        <v>0</v>
      </c>
      <c r="D45" s="85">
        <f>D22*$B45</f>
        <v>0</v>
      </c>
      <c r="E45" s="85">
        <f>E22*$B45</f>
        <v>0</v>
      </c>
      <c r="F45" s="85">
        <f>F22*$B45</f>
        <v>0</v>
      </c>
      <c r="G45" s="85">
        <f>G22*$B45</f>
        <v>0</v>
      </c>
      <c r="H45" s="85">
        <f>H22*$B45</f>
        <v>0</v>
      </c>
      <c r="K45" s="90"/>
      <c r="L45" s="90"/>
      <c r="M45" s="90"/>
      <c r="N45" s="90"/>
      <c r="O45" s="90"/>
      <c r="P45" s="90"/>
    </row>
    <row r="46" spans="1:16">
      <c r="A46" s="27" t="s">
        <v>75</v>
      </c>
      <c r="B46" s="85">
        <f>15/180</f>
        <v>0.083333333333333329</v>
      </c>
      <c r="C46" s="85">
        <f>C23*$B46</f>
        <v>0</v>
      </c>
      <c r="D46" s="85">
        <f>D23*$B46</f>
        <v>0</v>
      </c>
      <c r="E46" s="85">
        <f>E23*$B46</f>
        <v>0</v>
      </c>
      <c r="F46" s="85">
        <f>F23*$B46</f>
        <v>0</v>
      </c>
      <c r="G46" s="85">
        <f>G23*$B46</f>
        <v>0</v>
      </c>
      <c r="H46" s="85">
        <f>H23*$B46</f>
        <v>0</v>
      </c>
      <c r="K46" s="90"/>
      <c r="L46" s="90"/>
      <c r="M46" s="90"/>
      <c r="N46" s="90"/>
      <c r="O46" s="90"/>
      <c r="P46" s="90"/>
    </row>
    <row r="47" spans="1:16" customHeight="1" thickBot="1">
      <c r="A47" s="80"/>
      <c r="B47" s="81"/>
      <c r="C47" s="81"/>
      <c r="D47" s="81"/>
      <c r="E47" s="81"/>
      <c r="F47" s="81"/>
      <c r="G47" s="81"/>
      <c r="H47" s="81"/>
      <c r="I47" s="8"/>
      <c r="J47" s="8"/>
      <c r="K47" s="174">
        <f>SUM(K33:K46)</f>
        <v>0</v>
      </c>
      <c r="L47" s="174">
        <f>SUM(L33:L46)</f>
        <v>0</v>
      </c>
      <c r="M47" s="174">
        <f>SUM(M33:M46)</f>
        <v>0</v>
      </c>
      <c r="N47" s="174">
        <f>SUM(N33:N46)</f>
        <v>0</v>
      </c>
      <c r="O47" s="174">
        <f>SUM(O33:O46)</f>
        <v>0</v>
      </c>
      <c r="P47" s="174">
        <f>SUM(P33:P46)</f>
        <v>0</v>
      </c>
    </row>
    <row r="48" spans="1:16" ht="15.75" thickTop="1">
      <c r="A48" s="27"/>
      <c r="B48" s="81"/>
      <c r="C48" s="81"/>
      <c r="D48" s="81"/>
      <c r="E48" s="81"/>
      <c r="F48" s="81"/>
      <c r="G48" s="81"/>
      <c r="H48" s="81"/>
      <c r="K48" s="106"/>
      <c r="L48" s="106"/>
      <c r="M48" s="106"/>
      <c r="N48" s="106"/>
      <c r="O48" s="106"/>
      <c r="P48" s="106"/>
    </row>
    <row r="49" spans="1:16" customHeight="1" thickBot="1">
      <c r="A49" s="29" t="s">
        <v>129</v>
      </c>
      <c r="B49" s="40"/>
      <c r="C49" s="86">
        <f>SUM(C33:C47)</f>
        <v>0</v>
      </c>
      <c r="D49" s="86">
        <f>SUM(D33:D47)</f>
        <v>0</v>
      </c>
      <c r="E49" s="86">
        <f>SUM(E33:E47)</f>
        <v>0</v>
      </c>
      <c r="F49" s="86">
        <f>SUM(F33:F47)</f>
        <v>0</v>
      </c>
      <c r="G49" s="86">
        <f>SUM(G33:G47)</f>
        <v>0</v>
      </c>
      <c r="H49" s="86">
        <f>SUM(H33:H47)</f>
        <v>0</v>
      </c>
      <c r="J49" s="111" t="s">
        <v>106</v>
      </c>
      <c r="K49" s="175">
        <f>K25+K47</f>
        <v>0</v>
      </c>
      <c r="L49" s="112">
        <f>L25+L47</f>
        <v>0</v>
      </c>
      <c r="M49" s="112">
        <f>M25+M47</f>
        <v>0</v>
      </c>
      <c r="N49" s="112">
        <f>N25+N47</f>
        <v>0</v>
      </c>
      <c r="O49" s="112">
        <f>O25+O47</f>
        <v>0</v>
      </c>
      <c r="P49" s="112">
        <f>P25+P47</f>
        <v>0</v>
      </c>
    </row>
    <row r="50" spans="1:16" ht="15.75" thickTop="1">
      <c r="A50" s="21"/>
      <c r="B50" s="40"/>
      <c r="C50" s="133">
        <f>C49-C29</f>
        <v>0</v>
      </c>
      <c r="D50" s="133">
        <f>D49-D29</f>
        <v>0</v>
      </c>
      <c r="E50" s="133">
        <f>E49-E29</f>
        <v>0</v>
      </c>
      <c r="F50" s="133">
        <f>F49-F29</f>
        <v>0</v>
      </c>
      <c r="G50" s="133">
        <f>G49-G29</f>
        <v>0</v>
      </c>
      <c r="H50" s="133">
        <f>H49-H29</f>
        <v>0</v>
      </c>
      <c r="L50" s="107"/>
      <c r="M50" s="103"/>
      <c r="N50" s="103"/>
      <c r="O50" s="103"/>
      <c r="P50" s="103"/>
    </row>
    <row r="51" spans="1:16">
      <c r="A51" s="21"/>
      <c r="B51" s="40"/>
      <c r="C51" s="40"/>
      <c r="D51" s="40"/>
      <c r="E51" s="40"/>
      <c r="F51" s="39"/>
      <c r="G51" s="39"/>
      <c r="H51" s="39"/>
      <c r="L51" s="107"/>
      <c r="M51" s="110"/>
      <c r="N51" s="110"/>
      <c r="O51" s="110"/>
      <c r="P51" s="110"/>
    </row>
    <row r="52" spans="1:16">
      <c r="A52" s="21"/>
      <c r="B52" s="40"/>
      <c r="C52" s="40"/>
      <c r="D52" s="40"/>
      <c r="E52" s="40"/>
      <c r="F52" s="39"/>
      <c r="G52" s="39"/>
      <c r="H52" s="39"/>
      <c r="L52" s="107"/>
      <c r="M52" s="110"/>
      <c r="N52" s="110"/>
      <c r="O52" s="110"/>
      <c r="P52" s="110"/>
    </row>
    <row r="53" spans="1:16" ht="18.75">
      <c r="A53" s="38" t="s">
        <v>101</v>
      </c>
      <c r="K53" s="306" t="s">
        <v>42</v>
      </c>
      <c r="L53" s="306"/>
      <c r="M53" s="306"/>
      <c r="N53" s="306"/>
      <c r="O53" s="306"/>
      <c r="P53" s="306"/>
    </row>
    <row r="54" spans="1:16" ht="15.75" thickBot="1">
      <c r="A54" t="s">
        <v>156</v>
      </c>
      <c r="C54" s="24" t="str">
        <f>C9</f>
        <v>2020/21</v>
      </c>
      <c r="D54" s="24" t="str">
        <f>D9</f>
        <v>2021/22</v>
      </c>
      <c r="E54" s="24" t="str">
        <f>E9</f>
        <v>2022/23</v>
      </c>
      <c r="F54" s="24" t="str">
        <f>F9</f>
        <v>2023/24</v>
      </c>
      <c r="G54" s="24" t="str">
        <f>G9</f>
        <v>2024/25</v>
      </c>
      <c r="H54" s="24" t="str">
        <f>H9</f>
        <v>2025/26</v>
      </c>
      <c r="I54" s="88" t="s">
        <v>160</v>
      </c>
      <c r="J54" t="s">
        <v>161</v>
      </c>
      <c r="K54" s="141" t="str">
        <f>K32</f>
        <v>2020/21</v>
      </c>
      <c r="L54" s="141" t="str">
        <f>L32</f>
        <v>2021/22</v>
      </c>
      <c r="M54" s="141" t="str">
        <f>M32</f>
        <v>2022/23</v>
      </c>
      <c r="N54" s="141" t="str">
        <f>N32</f>
        <v>2023/24</v>
      </c>
      <c r="O54" s="141" t="str">
        <f>O32</f>
        <v>2024/25</v>
      </c>
      <c r="P54" s="141" t="str">
        <f>P32</f>
        <v>2025/26</v>
      </c>
    </row>
    <row r="55" spans="1:11">
      <c r="A55" s="1" t="s">
        <v>102</v>
      </c>
      <c r="B55" s="14" t="s">
        <v>25</v>
      </c>
      <c r="C55" s="15"/>
      <c r="D55" s="15" t="s">
        <v>56</v>
      </c>
      <c r="K55" s="32"/>
    </row>
    <row r="56" spans="1:17">
      <c r="A56" s="4" t="s">
        <v>154</v>
      </c>
      <c r="C56" s="69">
        <v>0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K56" s="104"/>
      <c r="L56" s="104"/>
      <c r="M56" s="104"/>
      <c r="N56" s="104"/>
      <c r="O56" s="104"/>
      <c r="P56" s="104"/>
      <c r="Q56" t="s">
        <v>309</v>
      </c>
    </row>
    <row r="57" spans="1:16">
      <c r="A57" s="4" t="s">
        <v>157</v>
      </c>
      <c r="C57" s="69">
        <v>0</v>
      </c>
      <c r="D57" s="69">
        <v>0</v>
      </c>
      <c r="E57" s="69">
        <v>0</v>
      </c>
      <c r="F57" s="69">
        <v>0</v>
      </c>
      <c r="G57" s="69">
        <v>0</v>
      </c>
      <c r="H57" s="69">
        <v>0</v>
      </c>
      <c r="K57" s="104"/>
      <c r="L57" s="104"/>
      <c r="M57" s="104"/>
      <c r="N57" s="104"/>
      <c r="O57" s="104"/>
      <c r="P57" s="104"/>
    </row>
    <row r="58" spans="1:16">
      <c r="A58" s="4" t="s">
        <v>158</v>
      </c>
      <c r="C58" s="69">
        <v>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K58" s="104"/>
      <c r="L58" s="104"/>
      <c r="M58" s="104"/>
      <c r="N58" s="104"/>
      <c r="O58" s="104"/>
      <c r="P58" s="104"/>
    </row>
    <row r="59" spans="1:16">
      <c r="A59" s="4" t="s">
        <v>159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177"/>
      <c r="K59" s="104"/>
      <c r="L59" s="104"/>
      <c r="M59" s="104"/>
      <c r="N59" s="104"/>
      <c r="O59" s="104"/>
      <c r="P59" s="104"/>
    </row>
    <row r="60" spans="1:16">
      <c r="A60" s="4" t="s">
        <v>148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K60" s="104"/>
      <c r="L60" s="104"/>
      <c r="M60" s="104"/>
      <c r="N60" s="104"/>
      <c r="O60" s="104"/>
      <c r="P60" s="104"/>
    </row>
    <row r="61" spans="1:16">
      <c r="A61" s="4" t="s">
        <v>155</v>
      </c>
      <c r="C61" s="69">
        <v>0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K61" s="104"/>
      <c r="L61" s="104"/>
      <c r="M61" s="104"/>
      <c r="N61" s="104"/>
      <c r="O61" s="104"/>
      <c r="P61" s="104"/>
    </row>
    <row r="62" spans="1:16">
      <c r="A62" s="4" t="s">
        <v>147</v>
      </c>
      <c r="C62" s="18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K62" s="104"/>
      <c r="L62" s="104"/>
      <c r="M62" s="104"/>
      <c r="N62" s="104"/>
      <c r="O62" s="104"/>
      <c r="P62" s="104"/>
    </row>
    <row r="63" spans="1:16">
      <c r="A63" s="4" t="s">
        <v>146</v>
      </c>
      <c r="C63" s="18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88"/>
      <c r="K63" s="104"/>
      <c r="L63" s="104"/>
      <c r="M63" s="104"/>
      <c r="N63" s="104"/>
      <c r="O63" s="104"/>
      <c r="P63" s="104"/>
    </row>
    <row r="64" spans="1:16">
      <c r="A64" s="4"/>
      <c r="C64" s="18">
        <v>0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88"/>
      <c r="K64" s="104"/>
      <c r="L64" s="104"/>
      <c r="M64" s="104"/>
      <c r="N64" s="104"/>
      <c r="O64" s="104"/>
      <c r="P64" s="104"/>
    </row>
    <row r="65" spans="1:16">
      <c r="A65" s="4"/>
      <c r="C65" s="18">
        <v>0</v>
      </c>
      <c r="D65" s="69">
        <v>0</v>
      </c>
      <c r="E65" s="69">
        <v>0</v>
      </c>
      <c r="F65" s="69">
        <v>0</v>
      </c>
      <c r="G65" s="69">
        <v>0</v>
      </c>
      <c r="H65" s="69">
        <v>0</v>
      </c>
      <c r="I65" s="88"/>
      <c r="K65" s="104"/>
      <c r="L65" s="104"/>
      <c r="M65" s="104"/>
      <c r="N65" s="104"/>
      <c r="O65" s="104"/>
      <c r="P65" s="104"/>
    </row>
    <row r="66" spans="1:16">
      <c r="A66" s="4"/>
      <c r="C66" s="18"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88"/>
      <c r="K66" s="104"/>
      <c r="L66" s="104"/>
      <c r="M66" s="104"/>
      <c r="N66" s="104"/>
      <c r="O66" s="104"/>
      <c r="P66" s="104"/>
    </row>
    <row r="67" spans="1:16" ht="19.9" customHeight="1">
      <c r="A67" s="4"/>
      <c r="C67" s="18">
        <v>0</v>
      </c>
      <c r="D67" s="69">
        <v>0</v>
      </c>
      <c r="E67" s="69">
        <v>0</v>
      </c>
      <c r="F67" s="69">
        <v>0</v>
      </c>
      <c r="G67" s="69">
        <v>0</v>
      </c>
      <c r="H67" s="69">
        <v>0</v>
      </c>
      <c r="I67" s="88"/>
      <c r="K67" s="104"/>
      <c r="L67" s="104"/>
      <c r="M67" s="104"/>
      <c r="N67" s="104"/>
      <c r="O67" s="104"/>
      <c r="P67" s="104"/>
    </row>
    <row r="68" spans="3:16" ht="19.9" customHeight="1">
      <c r="C68" s="2"/>
      <c r="D68" s="2"/>
      <c r="K68" s="113">
        <f>SUM(K56:K67)</f>
        <v>0</v>
      </c>
      <c r="L68" s="113">
        <f>SUM(L56:L67)</f>
        <v>0</v>
      </c>
      <c r="M68" s="113">
        <f>SUM(M56:M67)</f>
        <v>0</v>
      </c>
      <c r="N68" s="113">
        <f>SUM(N56:N67)</f>
        <v>0</v>
      </c>
      <c r="O68" s="113">
        <f>SUM(O56:O67)</f>
        <v>0</v>
      </c>
      <c r="P68" s="113">
        <f>SUM(P56:P67)</f>
        <v>0</v>
      </c>
    </row>
    <row r="69" spans="3:16" ht="19.9" customHeight="1">
      <c r="C69" s="2"/>
      <c r="D69" s="2"/>
      <c r="L69" s="110"/>
      <c r="M69" s="110"/>
      <c r="N69" s="110"/>
      <c r="O69" s="110"/>
      <c r="P69" s="110"/>
    </row>
    <row r="70" spans="1:4" ht="19.9" customHeight="1">
      <c r="A70" s="38" t="s">
        <v>103</v>
      </c>
      <c r="C70" s="2"/>
      <c r="D70" s="2"/>
    </row>
    <row r="71" spans="1:4" ht="19.9" customHeight="1">
      <c r="A71" t="s">
        <v>162</v>
      </c>
      <c r="C71" s="2"/>
      <c r="D71" s="2"/>
    </row>
    <row r="72" spans="1:8">
      <c r="A72" s="25" t="s">
        <v>104</v>
      </c>
      <c r="C72" s="3" t="s">
        <v>3</v>
      </c>
      <c r="D72" s="3" t="s">
        <v>3</v>
      </c>
      <c r="E72" s="3" t="s">
        <v>3</v>
      </c>
      <c r="F72" s="3" t="s">
        <v>3</v>
      </c>
      <c r="G72" s="3" t="s">
        <v>3</v>
      </c>
      <c r="H72" s="3" t="s">
        <v>3</v>
      </c>
    </row>
    <row r="73" spans="1:8">
      <c r="A73" s="25"/>
      <c r="C73" s="3"/>
      <c r="D73" s="3"/>
      <c r="E73" s="3"/>
      <c r="F73" s="3"/>
      <c r="G73" s="3"/>
      <c r="H73" s="3"/>
    </row>
    <row r="74" spans="3:16" s="26" customFormat="1"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  <c r="I74"/>
      <c r="K74" s="104">
        <f>C74</f>
        <v>0</v>
      </c>
      <c r="L74" s="104">
        <f>D74</f>
        <v>0</v>
      </c>
      <c r="M74" s="104">
        <f>E74</f>
        <v>0</v>
      </c>
      <c r="N74" s="104">
        <f>F74</f>
        <v>0</v>
      </c>
      <c r="O74" s="104">
        <f>G74</f>
        <v>0</v>
      </c>
      <c r="P74" s="104">
        <f>H74</f>
        <v>0</v>
      </c>
    </row>
    <row r="75" spans="1:16" s="26" customFormat="1">
      <c r="A75" s="26" t="s">
        <v>110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/>
      <c r="K75" s="104">
        <f>C75</f>
        <v>0</v>
      </c>
      <c r="L75" s="104">
        <f>D75</f>
        <v>0</v>
      </c>
      <c r="M75" s="104">
        <f>E75</f>
        <v>0</v>
      </c>
      <c r="N75" s="104">
        <f>F75</f>
        <v>0</v>
      </c>
      <c r="O75" s="104">
        <f>G75</f>
        <v>0</v>
      </c>
      <c r="P75" s="104">
        <f>H75</f>
        <v>0</v>
      </c>
    </row>
    <row r="76" spans="1:16" s="26" customFormat="1">
      <c r="A76" s="26" t="s">
        <v>93</v>
      </c>
      <c r="C76" s="70">
        <v>0</v>
      </c>
      <c r="D76" s="70">
        <v>0</v>
      </c>
      <c r="E76" s="70">
        <v>0</v>
      </c>
      <c r="F76" s="70">
        <v>0</v>
      </c>
      <c r="G76" s="70">
        <v>0</v>
      </c>
      <c r="H76" s="70">
        <v>0</v>
      </c>
      <c r="I76"/>
      <c r="K76" s="104">
        <f>C76</f>
        <v>0</v>
      </c>
      <c r="L76" s="104">
        <f>D76</f>
        <v>0</v>
      </c>
      <c r="M76" s="104">
        <f>E76</f>
        <v>0</v>
      </c>
      <c r="N76" s="104">
        <f>F76</f>
        <v>0</v>
      </c>
      <c r="O76" s="104">
        <f>G76</f>
        <v>0</v>
      </c>
      <c r="P76" s="104">
        <f>H76</f>
        <v>0</v>
      </c>
    </row>
    <row r="77" spans="1:16" s="26" customFormat="1">
      <c r="A77" s="76" t="s">
        <v>118</v>
      </c>
      <c r="C77" s="70">
        <v>0</v>
      </c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/>
      <c r="K77" s="104">
        <f>C77</f>
        <v>0</v>
      </c>
      <c r="L77" s="104">
        <f>D77</f>
        <v>0</v>
      </c>
      <c r="M77" s="104">
        <f>E77</f>
        <v>0</v>
      </c>
      <c r="N77" s="104">
        <f>F77</f>
        <v>0</v>
      </c>
      <c r="O77" s="104">
        <f>G77</f>
        <v>0</v>
      </c>
      <c r="P77" s="104">
        <f>H77</f>
        <v>0</v>
      </c>
    </row>
    <row r="78" spans="1:16" s="26" customFormat="1">
      <c r="A78" s="26" t="s">
        <v>60</v>
      </c>
      <c r="C78" s="70">
        <v>0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/>
      <c r="K78" s="104">
        <f>C78</f>
        <v>0</v>
      </c>
      <c r="L78" s="104">
        <f>D78</f>
        <v>0</v>
      </c>
      <c r="M78" s="104">
        <f>E78</f>
        <v>0</v>
      </c>
      <c r="N78" s="104">
        <f>F78</f>
        <v>0</v>
      </c>
      <c r="O78" s="104">
        <f>G78</f>
        <v>0</v>
      </c>
      <c r="P78" s="104">
        <f>H78</f>
        <v>0</v>
      </c>
    </row>
    <row r="79" spans="1:16">
      <c r="A79" t="s">
        <v>2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K79" s="104">
        <f>C79</f>
        <v>0</v>
      </c>
      <c r="L79" s="104">
        <f>D79</f>
        <v>0</v>
      </c>
      <c r="M79" s="104">
        <f>E79</f>
        <v>0</v>
      </c>
      <c r="N79" s="104">
        <f>F79</f>
        <v>0</v>
      </c>
      <c r="O79" s="104">
        <f>G79</f>
        <v>0</v>
      </c>
      <c r="P79" s="104">
        <f>H79</f>
        <v>0</v>
      </c>
    </row>
    <row r="80" spans="1:11">
      <c r="A80" s="25"/>
      <c r="C80" s="3"/>
      <c r="D80" s="3"/>
      <c r="E80" s="3"/>
      <c r="F80" s="3"/>
      <c r="G80" s="3"/>
      <c r="H80" s="3"/>
      <c r="K80" s="32"/>
    </row>
    <row r="81" spans="1:11">
      <c r="A81" s="25"/>
      <c r="C81" s="3"/>
      <c r="D81" s="3"/>
      <c r="E81" s="3"/>
      <c r="F81" s="3"/>
      <c r="G81" s="3"/>
      <c r="H81" s="3"/>
      <c r="K81" s="32"/>
    </row>
    <row r="82" spans="1:11">
      <c r="A82" s="25" t="s">
        <v>105</v>
      </c>
      <c r="C82" s="3"/>
      <c r="D82" s="3"/>
      <c r="E82" s="3"/>
      <c r="F82" s="3"/>
      <c r="G82" s="3"/>
      <c r="H82" s="3"/>
      <c r="K82" s="32"/>
    </row>
    <row r="83" spans="1:11" ht="5.25" customHeight="1">
      <c r="A83" s="25"/>
      <c r="C83" s="3"/>
      <c r="D83" s="3"/>
      <c r="E83" s="3"/>
      <c r="F83" s="3"/>
      <c r="G83" s="3"/>
      <c r="H83" s="3"/>
      <c r="K83" s="32"/>
    </row>
    <row r="84" spans="1:16">
      <c r="A84" t="s">
        <v>80</v>
      </c>
      <c r="C84" s="70">
        <v>0</v>
      </c>
      <c r="D84" s="70">
        <f>(D15*0.2)*500</f>
        <v>0</v>
      </c>
      <c r="E84" s="70">
        <f>(E15*0.2)*500</f>
        <v>0</v>
      </c>
      <c r="F84" s="70">
        <f>(F15*0.2)*500</f>
        <v>0</v>
      </c>
      <c r="G84" s="70">
        <f>(G15*0.2)*500</f>
        <v>0</v>
      </c>
      <c r="H84" s="70">
        <f>(H15*0.2)*500</f>
        <v>0</v>
      </c>
      <c r="I84" t="s">
        <v>145</v>
      </c>
      <c r="K84" s="104">
        <f>(3000*SUM(C13,C20)+(900*SUM(C10,C12,C17,C19)))</f>
        <v>0</v>
      </c>
      <c r="L84" s="104">
        <f>D84</f>
        <v>0</v>
      </c>
      <c r="M84" s="104">
        <f>E84</f>
        <v>0</v>
      </c>
      <c r="N84" s="104">
        <f>F84</f>
        <v>0</v>
      </c>
      <c r="O84" s="104">
        <f>G84</f>
        <v>0</v>
      </c>
      <c r="P84" s="104">
        <f>H84</f>
        <v>0</v>
      </c>
    </row>
    <row r="85" spans="1:16">
      <c r="A85" t="s">
        <v>165</v>
      </c>
      <c r="C85" s="70">
        <v>0</v>
      </c>
      <c r="D85" s="70">
        <f>(D16*0.2)*500</f>
        <v>0</v>
      </c>
      <c r="E85" s="70">
        <f>(E16*0.2)*500</f>
        <v>0</v>
      </c>
      <c r="F85" s="70">
        <f>(F16*0.2)*500</f>
        <v>0</v>
      </c>
      <c r="G85" s="70">
        <f>(G16*0.2)*500</f>
        <v>0</v>
      </c>
      <c r="H85" s="70">
        <f>(H16*0.2)*500</f>
        <v>0</v>
      </c>
      <c r="K85" s="104">
        <f>(3000*SUM(C14,C21)+(900*SUM(C11,C13,C18,C20)))</f>
        <v>0</v>
      </c>
      <c r="L85" s="104">
        <f>D85</f>
        <v>0</v>
      </c>
      <c r="M85" s="104">
        <f>E85</f>
        <v>0</v>
      </c>
      <c r="N85" s="104">
        <f>F85</f>
        <v>0</v>
      </c>
      <c r="O85" s="104">
        <f>G85</f>
        <v>0</v>
      </c>
      <c r="P85" s="104">
        <f>H85</f>
        <v>0</v>
      </c>
    </row>
    <row r="86" spans="1:16">
      <c r="A86" s="178" t="s">
        <v>166</v>
      </c>
      <c r="C86" s="70">
        <v>0</v>
      </c>
      <c r="D86" s="70">
        <f>(D17*0.2)*500</f>
        <v>0</v>
      </c>
      <c r="E86" s="70">
        <f>(E17*0.2)*500</f>
        <v>0</v>
      </c>
      <c r="F86" s="70">
        <f>(F17*0.2)*500</f>
        <v>0</v>
      </c>
      <c r="G86" s="70">
        <f>(G17*0.2)*500</f>
        <v>0</v>
      </c>
      <c r="H86" s="70">
        <f>(H17*0.2)*500</f>
        <v>0</v>
      </c>
      <c r="K86" s="104">
        <f>(3000*SUM(C15,C22)+(900*SUM(C12,C14,C19,C21)))</f>
        <v>0</v>
      </c>
      <c r="L86" s="104">
        <f>D86</f>
        <v>0</v>
      </c>
      <c r="M86" s="104">
        <f>E86</f>
        <v>0</v>
      </c>
      <c r="N86" s="104">
        <f>F86</f>
        <v>0</v>
      </c>
      <c r="O86" s="104">
        <f>G86</f>
        <v>0</v>
      </c>
      <c r="P86" s="104">
        <f>H86</f>
        <v>0</v>
      </c>
    </row>
    <row r="87" spans="1:16">
      <c r="A87" s="178" t="s">
        <v>311</v>
      </c>
      <c r="C87" s="70">
        <v>1</v>
      </c>
      <c r="D87" s="70">
        <f>(D18*0.2)*500</f>
        <v>0</v>
      </c>
      <c r="E87" s="70">
        <f>(E18*0.2)*500</f>
        <v>0</v>
      </c>
      <c r="F87" s="70">
        <f>(F18*0.2)*500</f>
        <v>0</v>
      </c>
      <c r="G87" s="70">
        <f>(G18*0.2)*500</f>
        <v>0</v>
      </c>
      <c r="H87" s="70">
        <f>(H18*0.2)*500</f>
        <v>0</v>
      </c>
      <c r="K87" s="104">
        <f>(3000*SUM(C16,C23)+(900*SUM(C13,C15,C20,C22)))</f>
        <v>0</v>
      </c>
      <c r="L87" s="104">
        <f>D87</f>
        <v>0</v>
      </c>
      <c r="M87" s="104">
        <f>E87</f>
        <v>0</v>
      </c>
      <c r="N87" s="104">
        <f>F87</f>
        <v>0</v>
      </c>
      <c r="O87" s="104">
        <f>G87</f>
        <v>0</v>
      </c>
      <c r="P87" s="104">
        <f>H87</f>
        <v>0</v>
      </c>
    </row>
    <row r="88" spans="1:16">
      <c r="A88" t="s">
        <v>69</v>
      </c>
      <c r="C88" s="67">
        <v>0</v>
      </c>
      <c r="D88" s="67">
        <v>0</v>
      </c>
      <c r="E88" s="67">
        <v>0</v>
      </c>
      <c r="F88" s="67">
        <v>0</v>
      </c>
      <c r="G88" s="67">
        <v>0</v>
      </c>
      <c r="H88" s="67">
        <v>0</v>
      </c>
      <c r="K88" s="104">
        <f>C88</f>
        <v>0</v>
      </c>
      <c r="L88" s="104">
        <f>D88</f>
        <v>0</v>
      </c>
      <c r="M88" s="104">
        <f>E88</f>
        <v>0</v>
      </c>
      <c r="N88" s="104">
        <f>F88</f>
        <v>0</v>
      </c>
      <c r="O88" s="104">
        <f>G88</f>
        <v>0</v>
      </c>
      <c r="P88" s="104">
        <f>H88</f>
        <v>0</v>
      </c>
    </row>
    <row r="89" spans="1:16" s="26" customFormat="1">
      <c r="A89" s="26" t="s">
        <v>97</v>
      </c>
      <c r="C89" s="70">
        <f>(K49*0.1)/2</f>
        <v>0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/>
      <c r="K89" s="104">
        <f>C89</f>
        <v>0</v>
      </c>
      <c r="L89" s="104">
        <f>D89</f>
        <v>0</v>
      </c>
      <c r="M89" s="104">
        <f>E89</f>
        <v>0</v>
      </c>
      <c r="N89" s="104">
        <f>F89</f>
        <v>0</v>
      </c>
      <c r="O89" s="104">
        <f>G89</f>
        <v>0</v>
      </c>
      <c r="P89" s="104">
        <f>H89</f>
        <v>0</v>
      </c>
    </row>
    <row r="90" spans="1:16" s="26" customFormat="1">
      <c r="A90" s="26" t="s">
        <v>163</v>
      </c>
      <c r="C90" s="70">
        <f>(K50*0.1)/2</f>
        <v>0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  <c r="I90"/>
      <c r="K90" s="104">
        <f>C90</f>
        <v>0</v>
      </c>
      <c r="L90" s="104">
        <f>D90</f>
        <v>0</v>
      </c>
      <c r="M90" s="104">
        <f>E90</f>
        <v>0</v>
      </c>
      <c r="N90" s="104">
        <f>F90</f>
        <v>0</v>
      </c>
      <c r="O90" s="104">
        <f>G90</f>
        <v>0</v>
      </c>
      <c r="P90" s="104">
        <f>H90</f>
        <v>0</v>
      </c>
    </row>
    <row r="91" spans="3:16" s="26" customFormat="1">
      <c r="C91" s="70">
        <f>(K51*0.1)/2</f>
        <v>0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  <c r="I91"/>
      <c r="K91" s="104">
        <f>C91</f>
        <v>0</v>
      </c>
      <c r="L91" s="104">
        <f>D91</f>
        <v>0</v>
      </c>
      <c r="M91" s="104">
        <f>E91</f>
        <v>0</v>
      </c>
      <c r="N91" s="104">
        <f>F91</f>
        <v>0</v>
      </c>
      <c r="O91" s="104">
        <f>G91</f>
        <v>0</v>
      </c>
      <c r="P91" s="104">
        <f>H91</f>
        <v>0</v>
      </c>
    </row>
    <row r="92" spans="1:16">
      <c r="A92" t="s">
        <v>34</v>
      </c>
      <c r="C92" s="67">
        <v>0</v>
      </c>
      <c r="D92" s="67">
        <v>0</v>
      </c>
      <c r="E92" s="67">
        <v>0</v>
      </c>
      <c r="F92" s="67">
        <v>0</v>
      </c>
      <c r="G92" s="67">
        <v>0</v>
      </c>
      <c r="H92" s="67">
        <v>0</v>
      </c>
      <c r="K92" s="104">
        <f>C92</f>
        <v>0</v>
      </c>
      <c r="L92" s="104">
        <f>D92</f>
        <v>0</v>
      </c>
      <c r="M92" s="104">
        <f>E92</f>
        <v>0</v>
      </c>
      <c r="N92" s="104">
        <f>F92</f>
        <v>0</v>
      </c>
      <c r="O92" s="104">
        <f>G92</f>
        <v>0</v>
      </c>
      <c r="P92" s="104">
        <f>H92</f>
        <v>0</v>
      </c>
    </row>
    <row r="93" spans="11:11" ht="19.9" customHeight="1">
      <c r="K93" s="32"/>
    </row>
    <row r="94" spans="11:16" ht="19.9" customHeight="1">
      <c r="K94" s="113">
        <f>SUM(K74:K93)</f>
        <v>0</v>
      </c>
      <c r="L94" s="113">
        <f>SUM(L74:L93)</f>
        <v>0</v>
      </c>
      <c r="M94" s="113">
        <f>SUM(M74:M93)</f>
        <v>0</v>
      </c>
      <c r="N94" s="113">
        <f>SUM(N74:N93)</f>
        <v>0</v>
      </c>
      <c r="O94" s="113">
        <f>SUM(O74:O93)</f>
        <v>0</v>
      </c>
      <c r="P94" s="113">
        <f>SUM(P74:P93)</f>
        <v>0</v>
      </c>
    </row>
    <row r="95" spans="11:11" ht="19.9" customHeight="1">
      <c r="K95" s="32"/>
    </row>
    <row r="96" spans="10:16" ht="19.9" customHeight="1" thickBot="1">
      <c r="J96" s="111" t="s">
        <v>107</v>
      </c>
      <c r="K96" s="105">
        <f>K94+K68</f>
        <v>0</v>
      </c>
      <c r="L96" s="105">
        <f>L94+L68</f>
        <v>0</v>
      </c>
      <c r="M96" s="105">
        <f>M94+M68</f>
        <v>0</v>
      </c>
      <c r="N96" s="105">
        <f>N94+N68</f>
        <v>0</v>
      </c>
      <c r="O96" s="105">
        <f>O94+O68</f>
        <v>0</v>
      </c>
      <c r="P96" s="105">
        <f>P94+P68</f>
        <v>0</v>
      </c>
    </row>
    <row r="97" spans="10:16" ht="15.75" thickTop="1">
      <c r="J97" s="111"/>
      <c r="K97" s="117"/>
      <c r="L97" s="117"/>
      <c r="M97" s="117"/>
      <c r="N97" s="117"/>
      <c r="O97" s="117"/>
      <c r="P97" s="117"/>
    </row>
    <row r="98" spans="10:16" ht="15.75" thickBot="1">
      <c r="J98" s="111" t="s">
        <v>108</v>
      </c>
      <c r="K98" s="128">
        <f>K49-K96</f>
        <v>0</v>
      </c>
      <c r="L98" s="128">
        <f>L49-L96</f>
        <v>0</v>
      </c>
      <c r="M98" s="128">
        <f>M49-M96</f>
        <v>0</v>
      </c>
      <c r="N98" s="128">
        <f>N49-N96</f>
        <v>0</v>
      </c>
      <c r="O98" s="128">
        <f>O49-O96</f>
        <v>0</v>
      </c>
      <c r="P98" s="128">
        <f>P49-P96</f>
        <v>0</v>
      </c>
    </row>
    <row r="99" spans="11:16" ht="15.75" thickTop="1">
      <c r="K99" s="32">
        <f>K98-'Ideal Summary'!D41</f>
        <v>0</v>
      </c>
      <c r="L99" s="32">
        <f>L98-'Ideal Summary'!E41</f>
        <v>0</v>
      </c>
      <c r="M99" s="32">
        <f>M98-'Ideal Summary'!F41</f>
        <v>0</v>
      </c>
      <c r="N99" s="32">
        <f>N98-'Ideal Summary'!G41</f>
        <v>0</v>
      </c>
      <c r="O99" s="32">
        <f>O98-'Ideal Summary'!H41</f>
        <v>0</v>
      </c>
      <c r="P99" s="32">
        <f>P98-'Ideal Summary'!I41</f>
        <v>0</v>
      </c>
    </row>
  </sheetData>
  <mergeCells count="3">
    <mergeCell ref="K8:P8"/>
    <mergeCell ref="K31:P31"/>
    <mergeCell ref="K53:P53"/>
  </mergeCells>
  <conditionalFormatting sqref="K76:P79 K84:P92">
    <cfRule type="cellIs" dxfId="35" priority="16" operator="equal">
      <formula>0</formula>
    </cfRule>
  </conditionalFormatting>
  <conditionalFormatting sqref="K74:P75">
    <cfRule type="cellIs" dxfId="34" priority="12" operator="equal">
      <formula>0</formula>
    </cfRule>
  </conditionalFormatting>
  <conditionalFormatting sqref="K60:P61 K62">
    <cfRule type="cellIs" dxfId="33" priority="8" operator="equal">
      <formula>0</formula>
    </cfRule>
  </conditionalFormatting>
  <conditionalFormatting sqref="K63:P67 K59">
    <cfRule type="cellIs" dxfId="32" priority="7" operator="equal">
      <formula>0</formula>
    </cfRule>
  </conditionalFormatting>
  <conditionalFormatting sqref="K56:P56">
    <cfRule type="cellIs" dxfId="31" priority="6" operator="equal">
      <formula>0</formula>
    </cfRule>
  </conditionalFormatting>
  <conditionalFormatting sqref="K58">
    <cfRule type="cellIs" dxfId="30" priority="5" operator="equal">
      <formula>0</formula>
    </cfRule>
  </conditionalFormatting>
  <conditionalFormatting sqref="L58:P58">
    <cfRule type="cellIs" dxfId="29" priority="4" operator="equal">
      <formula>0</formula>
    </cfRule>
  </conditionalFormatting>
  <conditionalFormatting sqref="K57:P57">
    <cfRule type="cellIs" dxfId="28" priority="3" operator="equal">
      <formula>0</formula>
    </cfRule>
  </conditionalFormatting>
  <conditionalFormatting sqref="L62:P62">
    <cfRule type="cellIs" dxfId="27" priority="2" operator="equal">
      <formula>0</formula>
    </cfRule>
  </conditionalFormatting>
  <conditionalFormatting sqref="L59:P59">
    <cfRule type="cellIs" dxfId="26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1" fitToHeight="2" orientation="portrait"/>
  <headerFooter scaleWithDoc="1" alignWithMargins="1" differentFirst="0" differentOddEven="0">
    <oddHeader>&amp;R&amp;A</oddHeader>
    <oddFooter>&amp;L&amp;Z&amp;F&amp;R&amp;D</oddFooter>
  </headerFooter>
  <rowBreaks count="1" manualBreakCount="1">
    <brk id="100" max="13" man="1"/>
  </rowBreaks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FFC000"/>
    <pageSetUpPr fitToPage="1"/>
  </sheetPr>
  <dimension ref="A1:P69"/>
  <sheetViews>
    <sheetView topLeftCell="A1" zoomScale="85" view="normal" workbookViewId="0">
      <pane xSplit="2" ySplit="6" topLeftCell="C7" activePane="bottomRight" state="frozen"/>
      <selection pane="bottomRight" activeCell="B2" sqref="B2"/>
    </sheetView>
  </sheetViews>
  <sheetFormatPr defaultRowHeight="15"/>
  <cols>
    <col min="1" max="1" width="3.75390625" customWidth="1"/>
    <col min="2" max="2" width="37.375" customWidth="1"/>
    <col min="3" max="3" width="7.625" customWidth="1"/>
    <col min="4" max="5" width="9.625" customWidth="1"/>
    <col min="10" max="10" width="9.00390625" customWidth="1"/>
  </cols>
  <sheetData>
    <row r="1" spans="1:1">
      <c r="A1" t="s">
        <v>49</v>
      </c>
    </row>
    <row r="2" spans="1:1" ht="18.75">
      <c r="A2" s="38" t="str">
        <f>Summary!A2</f>
        <v>Name of Course</v>
      </c>
    </row>
    <row r="3" spans="1:1">
      <c r="A3" s="1" t="s">
        <v>52</v>
      </c>
    </row>
    <row r="4" spans="1:1" ht="10.5" customHeight="1">
      <c r="A4" s="38"/>
    </row>
    <row r="5" spans="1:9" ht="18.75">
      <c r="A5" s="38"/>
      <c r="B5" s="1"/>
      <c r="E5" s="302"/>
      <c r="F5" s="302"/>
      <c r="G5" s="302"/>
      <c r="H5" s="302"/>
      <c r="I5" s="302"/>
    </row>
    <row r="6" spans="2:9" ht="30">
      <c r="B6" s="93"/>
      <c r="C6" s="101" t="s">
        <v>151</v>
      </c>
      <c r="D6" s="94" t="str">
        <f>Summary!B5</f>
        <v>2020/21</v>
      </c>
      <c r="E6" s="94" t="str">
        <f>Summary!C5</f>
        <v>2021/22</v>
      </c>
      <c r="F6" s="94" t="str">
        <f>Summary!D5</f>
        <v>2022/23</v>
      </c>
      <c r="G6" s="94" t="str">
        <f>Summary!E5</f>
        <v>2023/24</v>
      </c>
      <c r="H6" s="94" t="str">
        <f>Summary!F5</f>
        <v>2024/25</v>
      </c>
      <c r="I6" s="94" t="str">
        <f>Summary!G5</f>
        <v>2025/26</v>
      </c>
    </row>
    <row r="7" spans="2:9">
      <c r="B7" s="51"/>
      <c r="C7" s="78"/>
      <c r="D7" s="42"/>
      <c r="E7" s="42"/>
      <c r="F7" s="42"/>
      <c r="G7" s="79"/>
      <c r="H7" s="79"/>
      <c r="I7" s="79"/>
    </row>
    <row r="8" spans="2:9">
      <c r="B8" s="91" t="s">
        <v>137</v>
      </c>
      <c r="C8" s="43"/>
      <c r="D8" s="169"/>
      <c r="E8" s="169"/>
      <c r="F8" s="41"/>
      <c r="G8" s="41"/>
      <c r="H8" s="43"/>
      <c r="I8" s="43"/>
    </row>
    <row r="9" spans="2:11">
      <c r="B9" s="51" t="s">
        <v>66</v>
      </c>
      <c r="C9" s="59"/>
      <c r="D9" s="169">
        <f>'Mid Case'!C10</f>
        <v>0</v>
      </c>
      <c r="E9" s="169">
        <f>'Mid Case'!D10</f>
        <v>0</v>
      </c>
      <c r="F9" s="41">
        <f>'Mid Case'!E10</f>
        <v>0</v>
      </c>
      <c r="G9" s="41">
        <f>'Mid Case'!F10</f>
        <v>0</v>
      </c>
      <c r="H9" s="41">
        <f>'Mid Case'!G10</f>
        <v>0</v>
      </c>
      <c r="I9" s="41">
        <f>'Mid Case'!H10</f>
        <v>0</v>
      </c>
      <c r="K9" s="134"/>
    </row>
    <row r="10" spans="2:9">
      <c r="B10" s="51" t="s">
        <v>67</v>
      </c>
      <c r="C10" s="59"/>
      <c r="D10" s="169">
        <f>'Mid Case'!C11</f>
        <v>0</v>
      </c>
      <c r="E10" s="169">
        <f>'Mid Case'!D11</f>
        <v>0</v>
      </c>
      <c r="F10" s="41">
        <f>'Mid Case'!E11</f>
        <v>0</v>
      </c>
      <c r="G10" s="41">
        <f>'Mid Case'!F11</f>
        <v>0</v>
      </c>
      <c r="H10" s="41">
        <f>'Mid Case'!G11</f>
        <v>0</v>
      </c>
      <c r="I10" s="41">
        <f>'Mid Case'!H11</f>
        <v>0</v>
      </c>
    </row>
    <row r="11" spans="2:9">
      <c r="B11" s="51" t="s">
        <v>119</v>
      </c>
      <c r="C11" s="59"/>
      <c r="D11" s="170">
        <f>'Mid Case'!C13</f>
        <v>0</v>
      </c>
      <c r="E11" s="170">
        <f>'Mid Case'!D13</f>
        <v>0</v>
      </c>
      <c r="F11" s="43">
        <f>'Mid Case'!E13</f>
        <v>0</v>
      </c>
      <c r="G11" s="43">
        <f>'Mid Case'!F13</f>
        <v>0</v>
      </c>
      <c r="H11" s="43">
        <f>'Mid Case'!G13</f>
        <v>0</v>
      </c>
      <c r="I11" s="43">
        <f>'Mid Case'!H13</f>
        <v>0</v>
      </c>
    </row>
    <row r="12" spans="2:9">
      <c r="B12" s="51" t="s">
        <v>68</v>
      </c>
      <c r="C12" s="59"/>
      <c r="D12" s="169">
        <f>'Mid Case'!C14</f>
        <v>0</v>
      </c>
      <c r="E12" s="169">
        <f>'Mid Case'!D14</f>
        <v>0</v>
      </c>
      <c r="F12" s="41">
        <f>'Mid Case'!E14</f>
        <v>0</v>
      </c>
      <c r="G12" s="41">
        <f>'Mid Case'!F14</f>
        <v>0</v>
      </c>
      <c r="H12" s="41">
        <f>'Mid Case'!G14</f>
        <v>0</v>
      </c>
      <c r="I12" s="41">
        <f>'Mid Case'!H14</f>
        <v>0</v>
      </c>
    </row>
    <row r="13" spans="2:9">
      <c r="B13" s="51" t="s">
        <v>70</v>
      </c>
      <c r="C13" s="176"/>
      <c r="D13" s="169">
        <f>'Mid Case'!C15</f>
        <v>0</v>
      </c>
      <c r="E13" s="169">
        <f>'Mid Case'!D15</f>
        <v>0</v>
      </c>
      <c r="F13" s="41">
        <f>'Mid Case'!E15</f>
        <v>0</v>
      </c>
      <c r="G13" s="41">
        <f>'Mid Case'!F15</f>
        <v>0</v>
      </c>
      <c r="H13" s="41">
        <f>'Mid Case'!G15</f>
        <v>0</v>
      </c>
      <c r="I13" s="41">
        <f>'Mid Case'!H15</f>
        <v>0</v>
      </c>
    </row>
    <row r="14" spans="2:9">
      <c r="B14" s="51" t="s">
        <v>122</v>
      </c>
      <c r="C14" s="176"/>
      <c r="D14" s="169">
        <f>'Mid Case'!C16</f>
        <v>0</v>
      </c>
      <c r="E14" s="169">
        <f>'Mid Case'!D16</f>
        <v>0</v>
      </c>
      <c r="F14" s="41">
        <f>'Mid Case'!E16</f>
        <v>0</v>
      </c>
      <c r="G14" s="41">
        <f>'Mid Case'!F16</f>
        <v>0</v>
      </c>
      <c r="H14" s="41">
        <f>'Mid Case'!G16</f>
        <v>0</v>
      </c>
      <c r="I14" s="41">
        <f>'Mid Case'!H16</f>
        <v>0</v>
      </c>
    </row>
    <row r="15" spans="2:11">
      <c r="B15" s="51" t="s">
        <v>76</v>
      </c>
      <c r="C15" s="59"/>
      <c r="D15" s="169">
        <f>'Mid Case'!C17</f>
        <v>0</v>
      </c>
      <c r="E15" s="169">
        <f>'Mid Case'!D17</f>
        <v>0</v>
      </c>
      <c r="F15" s="41">
        <f>'Mid Case'!E17</f>
        <v>0</v>
      </c>
      <c r="G15" s="41">
        <f>'Mid Case'!F17</f>
        <v>0</v>
      </c>
      <c r="H15" s="41">
        <f>'Mid Case'!G17</f>
        <v>0</v>
      </c>
      <c r="I15" s="41">
        <f>'Mid Case'!H17</f>
        <v>0</v>
      </c>
      <c r="K15" s="134"/>
    </row>
    <row r="16" spans="2:9">
      <c r="B16" s="51" t="s">
        <v>127</v>
      </c>
      <c r="C16" s="59"/>
      <c r="D16" s="169">
        <f>'Mid Case'!C20</f>
        <v>0</v>
      </c>
      <c r="E16" s="169">
        <f>'Mid Case'!D20</f>
        <v>0</v>
      </c>
      <c r="F16" s="41">
        <f>'Mid Case'!E20</f>
        <v>0</v>
      </c>
      <c r="G16" s="41">
        <f>'Mid Case'!F20</f>
        <v>0</v>
      </c>
      <c r="H16" s="41">
        <f>'Mid Case'!G20</f>
        <v>0</v>
      </c>
      <c r="I16" s="41">
        <f>'Mid Case'!H20</f>
        <v>0</v>
      </c>
    </row>
    <row r="17" spans="2:9">
      <c r="B17" s="51" t="s">
        <v>77</v>
      </c>
      <c r="C17" s="59"/>
      <c r="D17" s="169">
        <f>'Mid Case'!C21</f>
        <v>0</v>
      </c>
      <c r="E17" s="169">
        <f>'Mid Case'!D21</f>
        <v>0</v>
      </c>
      <c r="F17" s="41">
        <f>'Mid Case'!E21</f>
        <v>0</v>
      </c>
      <c r="G17" s="41">
        <f>'Mid Case'!F21</f>
        <v>0</v>
      </c>
      <c r="H17" s="41">
        <f>'Mid Case'!G21</f>
        <v>0</v>
      </c>
      <c r="I17" s="41">
        <f>'Mid Case'!H21</f>
        <v>0</v>
      </c>
    </row>
    <row r="18" spans="2:9">
      <c r="B18" s="51" t="s">
        <v>78</v>
      </c>
      <c r="C18" s="59"/>
      <c r="D18" s="169">
        <f>'Mid Case'!C22</f>
        <v>0</v>
      </c>
      <c r="E18" s="169">
        <f>'Mid Case'!D22</f>
        <v>0</v>
      </c>
      <c r="F18" s="41">
        <f>'Mid Case'!E22</f>
        <v>0</v>
      </c>
      <c r="G18" s="41">
        <f>'Mid Case'!F22</f>
        <v>0</v>
      </c>
      <c r="H18" s="41">
        <f>'Mid Case'!G22</f>
        <v>0</v>
      </c>
      <c r="I18" s="41">
        <f>'Mid Case'!H22</f>
        <v>0</v>
      </c>
    </row>
    <row r="19" spans="2:9">
      <c r="B19" s="51"/>
      <c r="C19" s="59"/>
      <c r="D19" s="169"/>
      <c r="E19" s="169"/>
      <c r="F19" s="41"/>
      <c r="G19" s="41"/>
      <c r="H19" s="41"/>
      <c r="I19" s="41"/>
    </row>
    <row r="20" spans="2:9">
      <c r="B20" s="51"/>
      <c r="C20" s="59"/>
      <c r="D20" s="171">
        <f>SUM(D9:D19)</f>
        <v>0</v>
      </c>
      <c r="E20" s="171">
        <f>SUM(E9:E19)</f>
        <v>0</v>
      </c>
      <c r="F20" s="58">
        <f>SUM(F9:F19)</f>
        <v>0</v>
      </c>
      <c r="G20" s="58">
        <f>SUM(G9:G19)</f>
        <v>0</v>
      </c>
      <c r="H20" s="58">
        <f>SUM(H9:H19)</f>
        <v>0</v>
      </c>
      <c r="I20" s="58">
        <f>SUM(I9:I19)</f>
        <v>0</v>
      </c>
    </row>
    <row r="21" spans="2:9">
      <c r="B21" s="51"/>
      <c r="C21" s="59"/>
      <c r="D21" s="169"/>
      <c r="E21" s="169"/>
      <c r="F21" s="41"/>
      <c r="G21" s="41"/>
      <c r="H21" s="41"/>
      <c r="I21" s="41"/>
    </row>
    <row r="22" spans="2:9">
      <c r="B22" s="91" t="s">
        <v>46</v>
      </c>
      <c r="C22" s="60"/>
      <c r="D22" s="169"/>
      <c r="E22" s="169"/>
      <c r="F22" s="41"/>
      <c r="G22" s="41"/>
      <c r="H22" s="43"/>
      <c r="I22" s="43"/>
    </row>
    <row r="23" spans="2:16">
      <c r="B23" s="53" t="s">
        <v>59</v>
      </c>
      <c r="C23" s="61"/>
      <c r="D23" s="87">
        <f>SUM('Mid Case'!C26,'Mid Case'!C28)</f>
        <v>0</v>
      </c>
      <c r="E23" s="87">
        <f>SUM('Mid Case'!D26,'Mid Case'!D28)</f>
        <v>0</v>
      </c>
      <c r="F23" s="87">
        <f>SUM('Mid Case'!E26,'Mid Case'!E28)</f>
        <v>0</v>
      </c>
      <c r="G23" s="87">
        <f>SUM('Mid Case'!F26,'Mid Case'!F28)</f>
        <v>0</v>
      </c>
      <c r="H23" s="87">
        <f>SUM('Mid Case'!G26,'Mid Case'!G28)</f>
        <v>0</v>
      </c>
      <c r="I23" s="87">
        <f>SUM('Mid Case'!H26,'Mid Case'!H28)</f>
        <v>0</v>
      </c>
      <c r="L23" s="132"/>
      <c r="M23" s="132"/>
      <c r="N23" s="132"/>
      <c r="O23" s="132"/>
      <c r="P23" s="132"/>
    </row>
    <row r="24" spans="2:15">
      <c r="B24" s="51" t="s">
        <v>28</v>
      </c>
      <c r="C24" s="43"/>
      <c r="D24" s="87">
        <f>'Mid Case'!C27</f>
        <v>0</v>
      </c>
      <c r="E24" s="87">
        <f>'Mid Case'!D27</f>
        <v>0</v>
      </c>
      <c r="F24" s="87">
        <f>'Mid Case'!E27</f>
        <v>0</v>
      </c>
      <c r="G24" s="87">
        <f>'Mid Case'!F27</f>
        <v>0</v>
      </c>
      <c r="H24" s="87">
        <f>'Mid Case'!G27</f>
        <v>0</v>
      </c>
      <c r="I24" s="87">
        <f>'Mid Case'!H27</f>
        <v>0</v>
      </c>
      <c r="K24" s="132"/>
      <c r="L24" s="132"/>
      <c r="M24" s="132"/>
      <c r="N24" s="132"/>
      <c r="O24" s="132"/>
    </row>
    <row r="25" spans="2:9">
      <c r="B25" s="51"/>
      <c r="C25" s="43"/>
      <c r="D25" s="135">
        <f>SUM(D23:D24)</f>
        <v>0</v>
      </c>
      <c r="E25" s="135">
        <f>SUM(E23:E24)</f>
        <v>0</v>
      </c>
      <c r="F25" s="135">
        <f>SUM(F23:F24)</f>
        <v>0</v>
      </c>
      <c r="G25" s="135">
        <f>SUM(G23:G24)</f>
        <v>0</v>
      </c>
      <c r="H25" s="135">
        <f>SUM(H23:H24)</f>
        <v>0</v>
      </c>
      <c r="I25" s="135">
        <f>SUM(I23:I24)</f>
        <v>0</v>
      </c>
    </row>
    <row r="26" spans="2:9">
      <c r="B26" s="56"/>
      <c r="C26" s="48"/>
      <c r="D26" s="41"/>
      <c r="E26" s="41"/>
      <c r="F26" s="41"/>
      <c r="G26" s="41"/>
      <c r="H26" s="43"/>
      <c r="I26" s="43"/>
    </row>
    <row r="27" spans="2:9">
      <c r="B27" s="51"/>
      <c r="C27" s="50"/>
      <c r="D27" s="303" t="s">
        <v>98</v>
      </c>
      <c r="E27" s="304"/>
      <c r="F27" s="304"/>
      <c r="G27" s="304"/>
      <c r="H27" s="304"/>
      <c r="I27" s="305"/>
    </row>
    <row r="28" spans="2:9">
      <c r="B28" s="51"/>
      <c r="C28" s="50"/>
      <c r="D28" s="79" t="s">
        <v>144</v>
      </c>
      <c r="E28" s="79" t="s">
        <v>64</v>
      </c>
      <c r="F28" s="42" t="s">
        <v>79</v>
      </c>
      <c r="G28" s="42" t="s">
        <v>65</v>
      </c>
      <c r="H28" s="42" t="s">
        <v>96</v>
      </c>
      <c r="I28" s="42" t="s">
        <v>140</v>
      </c>
    </row>
    <row r="29" spans="2:9">
      <c r="B29" s="91" t="s">
        <v>32</v>
      </c>
      <c r="C29" s="52"/>
      <c r="D29" s="43"/>
      <c r="E29" s="43"/>
      <c r="F29" s="43"/>
      <c r="G29" s="43"/>
      <c r="H29" s="43"/>
      <c r="I29" s="43"/>
    </row>
    <row r="30" spans="2:9">
      <c r="B30" s="51" t="s">
        <v>150</v>
      </c>
      <c r="C30" s="50"/>
      <c r="D30" s="172">
        <f>'Mid Case'!K47</f>
        <v>0</v>
      </c>
      <c r="E30" s="44">
        <f>'Mid Case'!L47</f>
        <v>0</v>
      </c>
      <c r="F30" s="44">
        <f>'Mid Case'!M47</f>
        <v>0</v>
      </c>
      <c r="G30" s="44">
        <f>'Mid Case'!N47</f>
        <v>0</v>
      </c>
      <c r="H30" s="44">
        <f>'Mid Case'!O47</f>
        <v>0</v>
      </c>
      <c r="I30" s="44">
        <f>'Mid Case'!P47</f>
        <v>0</v>
      </c>
    </row>
    <row r="31" spans="2:9">
      <c r="B31" s="51" t="s">
        <v>48</v>
      </c>
      <c r="C31" s="50"/>
      <c r="D31" s="172">
        <f>SUM('Mid Case'!K10:K16)</f>
        <v>0</v>
      </c>
      <c r="E31" s="44">
        <f>SUM('Mid Case'!L10:L16)</f>
        <v>0</v>
      </c>
      <c r="F31" s="44">
        <f>SUM('Mid Case'!M10:M16)</f>
        <v>0</v>
      </c>
      <c r="G31" s="44">
        <f>SUM('Mid Case'!N10:N16)</f>
        <v>0</v>
      </c>
      <c r="H31" s="44">
        <f>SUM('Mid Case'!O10:O16)</f>
        <v>0</v>
      </c>
      <c r="I31" s="44">
        <f>SUM('Mid Case'!P10:P16)</f>
        <v>0</v>
      </c>
    </row>
    <row r="32" spans="2:9">
      <c r="B32" s="51" t="s">
        <v>36</v>
      </c>
      <c r="C32" s="50"/>
      <c r="D32" s="172">
        <f>SUM('Mid Case'!K17:K23)</f>
        <v>0</v>
      </c>
      <c r="E32" s="44">
        <f>SUM('Mid Case'!L17:L23)</f>
        <v>0</v>
      </c>
      <c r="F32" s="44">
        <f>SUM('Mid Case'!M17:M23)</f>
        <v>0</v>
      </c>
      <c r="G32" s="44">
        <f>SUM('Mid Case'!N17:N23)</f>
        <v>0</v>
      </c>
      <c r="H32" s="44">
        <f>SUM('Mid Case'!O17:O23)</f>
        <v>0</v>
      </c>
      <c r="I32" s="44">
        <f>SUM('Mid Case'!P17:P23)</f>
        <v>0</v>
      </c>
    </row>
    <row r="33" spans="2:9" s="1" customFormat="1">
      <c r="B33" s="124" t="s">
        <v>35</v>
      </c>
      <c r="C33" s="125"/>
      <c r="D33" s="173">
        <f>SUM(D30:D32)</f>
        <v>0</v>
      </c>
      <c r="E33" s="126">
        <f>SUM(E30:E32)</f>
        <v>0</v>
      </c>
      <c r="F33" s="126">
        <f>SUM(F30:F32)</f>
        <v>0</v>
      </c>
      <c r="G33" s="126">
        <f>SUM(G30:G32)</f>
        <v>0</v>
      </c>
      <c r="H33" s="126">
        <f>SUM(H30:H32)</f>
        <v>0</v>
      </c>
      <c r="I33" s="126">
        <f>SUM(I30:I32)</f>
        <v>0</v>
      </c>
    </row>
    <row r="34" spans="2:9">
      <c r="B34" s="51"/>
      <c r="C34" s="50"/>
      <c r="D34" s="44"/>
      <c r="E34" s="44"/>
      <c r="F34" s="44"/>
      <c r="G34" s="44"/>
      <c r="H34" s="44"/>
      <c r="I34" s="44"/>
    </row>
    <row r="35" spans="2:9">
      <c r="B35" s="91" t="s">
        <v>37</v>
      </c>
      <c r="C35" s="52"/>
      <c r="D35" s="44"/>
      <c r="E35" s="44"/>
      <c r="F35" s="44"/>
      <c r="G35" s="44"/>
      <c r="H35" s="44"/>
      <c r="I35" s="44"/>
    </row>
    <row r="36" spans="2:9">
      <c r="B36" s="51" t="s">
        <v>38</v>
      </c>
      <c r="C36" s="50"/>
      <c r="D36" s="44">
        <f>'Mid Case'!K68</f>
        <v>0</v>
      </c>
      <c r="E36" s="44">
        <f>'Mid Case'!L68</f>
        <v>0</v>
      </c>
      <c r="F36" s="44">
        <f>'Mid Case'!M68</f>
        <v>0</v>
      </c>
      <c r="G36" s="44">
        <f>'Mid Case'!N68</f>
        <v>0</v>
      </c>
      <c r="H36" s="44">
        <f>'Mid Case'!O68</f>
        <v>0</v>
      </c>
      <c r="I36" s="44">
        <f>'Mid Case'!P68</f>
        <v>0</v>
      </c>
    </row>
    <row r="37" spans="2:9">
      <c r="B37" s="51" t="s">
        <v>39</v>
      </c>
      <c r="C37" s="50"/>
      <c r="D37" s="44">
        <f>SUM('Mid Case'!K74:K79)</f>
        <v>0</v>
      </c>
      <c r="E37" s="44">
        <f>SUM('Mid Case'!L74:L79)</f>
        <v>0</v>
      </c>
      <c r="F37" s="44">
        <f>SUM('Mid Case'!M74:M79)</f>
        <v>0</v>
      </c>
      <c r="G37" s="44">
        <f>SUM('Mid Case'!N74:N79)</f>
        <v>0</v>
      </c>
      <c r="H37" s="44">
        <f>SUM('Mid Case'!O74:O79)</f>
        <v>0</v>
      </c>
      <c r="I37" s="44">
        <f>SUM('Mid Case'!P74:P79)</f>
        <v>0</v>
      </c>
    </row>
    <row r="38" spans="2:9">
      <c r="B38" s="51" t="s">
        <v>40</v>
      </c>
      <c r="C38" s="50"/>
      <c r="D38" s="44">
        <f>SUM('Mid Case'!K84:K93)</f>
        <v>0</v>
      </c>
      <c r="E38" s="44">
        <f>SUM('Mid Case'!L84:L93)</f>
        <v>0</v>
      </c>
      <c r="F38" s="44">
        <f>SUM('Mid Case'!M84:M93)</f>
        <v>0</v>
      </c>
      <c r="G38" s="44">
        <f>SUM('Mid Case'!N84:N93)</f>
        <v>0</v>
      </c>
      <c r="H38" s="44">
        <f>SUM('Mid Case'!O84:O93)</f>
        <v>0</v>
      </c>
      <c r="I38" s="44">
        <f>SUM('Mid Case'!P84:P93)</f>
        <v>0</v>
      </c>
    </row>
    <row r="39" spans="2:9" s="1" customFormat="1">
      <c r="B39" s="124" t="s">
        <v>41</v>
      </c>
      <c r="C39" s="125"/>
      <c r="D39" s="126">
        <f>SUM(D36:D38)</f>
        <v>0</v>
      </c>
      <c r="E39" s="126">
        <f>SUM(E36:E38)</f>
        <v>0</v>
      </c>
      <c r="F39" s="126">
        <f>SUM(F36:F38)</f>
        <v>0</v>
      </c>
      <c r="G39" s="126">
        <f>SUM(G36:G38)</f>
        <v>0</v>
      </c>
      <c r="H39" s="126">
        <f>SUM(H36:H38)</f>
        <v>0</v>
      </c>
      <c r="I39" s="126">
        <f>SUM(I36:I38)</f>
        <v>0</v>
      </c>
    </row>
    <row r="40" spans="2:9">
      <c r="B40" s="51"/>
      <c r="C40" s="50"/>
      <c r="D40" s="44"/>
      <c r="E40" s="44"/>
      <c r="F40" s="44"/>
      <c r="G40" s="44"/>
      <c r="H40" s="44"/>
      <c r="I40" s="44"/>
    </row>
    <row r="41" spans="2:9" s="1" customFormat="1">
      <c r="B41" s="114" t="s">
        <v>109</v>
      </c>
      <c r="C41" s="115"/>
      <c r="D41" s="116">
        <f>D33-D39</f>
        <v>0</v>
      </c>
      <c r="E41" s="116">
        <f>E33-E39</f>
        <v>0</v>
      </c>
      <c r="F41" s="116">
        <f>F33-F39</f>
        <v>0</v>
      </c>
      <c r="G41" s="116">
        <f>G33-G39</f>
        <v>0</v>
      </c>
      <c r="H41" s="116">
        <f>H33-H39</f>
        <v>0</v>
      </c>
      <c r="I41" s="116">
        <f>I33-I39</f>
        <v>0</v>
      </c>
    </row>
    <row r="42" spans="2:9">
      <c r="B42" s="49" t="s">
        <v>112</v>
      </c>
      <c r="C42" s="52"/>
      <c r="D42" s="77" t="e">
        <f>D41/D33</f>
        <v>#DIV/0!</v>
      </c>
      <c r="E42" s="77" t="e">
        <f>E41/E33</f>
        <v>#DIV/0!</v>
      </c>
      <c r="F42" s="77" t="e">
        <f>F41/F33</f>
        <v>#DIV/0!</v>
      </c>
      <c r="G42" s="118" t="e">
        <f>G41/G33</f>
        <v>#DIV/0!</v>
      </c>
      <c r="H42" s="118" t="e">
        <f>H41/H33</f>
        <v>#DIV/0!</v>
      </c>
      <c r="I42" s="118" t="e">
        <f>I41/I33</f>
        <v>#DIV/0!</v>
      </c>
    </row>
    <row r="43" spans="2:7">
      <c r="B43" s="82"/>
      <c r="C43" s="82"/>
      <c r="D43" s="82"/>
      <c r="E43" s="82"/>
      <c r="F43" s="82"/>
      <c r="G43" s="28"/>
    </row>
    <row r="44" spans="2:9">
      <c r="B44" s="54" t="s">
        <v>47</v>
      </c>
      <c r="C44" s="55"/>
      <c r="D44" s="45" t="e">
        <f>D39/(D23+D24)</f>
        <v>#DIV/0!</v>
      </c>
      <c r="E44" s="45" t="e">
        <f>E39/(E23+E24)</f>
        <v>#DIV/0!</v>
      </c>
      <c r="F44" s="45" t="e">
        <f>F39/(F23+F24)</f>
        <v>#DIV/0!</v>
      </c>
      <c r="G44" s="45" t="e">
        <f>G39/(G23+G24)</f>
        <v>#DIV/0!</v>
      </c>
      <c r="H44" s="45" t="e">
        <f>H39/(H23+H24)</f>
        <v>#DIV/0!</v>
      </c>
      <c r="I44" s="45" t="e">
        <f>I39/(I23+I24)</f>
        <v>#DIV/0!</v>
      </c>
    </row>
    <row r="45" spans="2:7">
      <c r="B45" s="28"/>
      <c r="C45" s="28"/>
      <c r="D45" s="28"/>
      <c r="E45" s="28"/>
      <c r="F45" s="28"/>
      <c r="G45" s="28"/>
    </row>
    <row r="46" spans="2:7">
      <c r="B46" s="28"/>
      <c r="C46" s="28"/>
      <c r="D46" s="28"/>
      <c r="E46" s="28"/>
      <c r="F46" s="28"/>
      <c r="G46" s="28"/>
    </row>
    <row r="47" spans="2:7">
      <c r="B47" s="28"/>
      <c r="C47" s="28"/>
      <c r="D47" s="28"/>
      <c r="E47" s="28"/>
      <c r="F47" s="28"/>
      <c r="G47" s="28"/>
    </row>
    <row r="48" spans="2:9">
      <c r="B48" s="95" t="s">
        <v>50</v>
      </c>
      <c r="C48" s="96"/>
      <c r="D48" s="97"/>
      <c r="E48" s="97"/>
      <c r="F48" s="97"/>
      <c r="G48" s="97"/>
      <c r="H48" s="97"/>
      <c r="I48" s="97"/>
    </row>
    <row r="49" spans="2:9">
      <c r="B49" s="98" t="s">
        <v>53</v>
      </c>
      <c r="C49" s="99"/>
      <c r="D49" s="100"/>
      <c r="E49" s="100"/>
      <c r="F49" s="100"/>
      <c r="G49" s="100"/>
      <c r="H49" s="100"/>
      <c r="I49" s="100"/>
    </row>
    <row r="50" spans="2:9">
      <c r="B50" s="49"/>
      <c r="C50" s="50"/>
      <c r="D50" s="43"/>
      <c r="E50" s="43"/>
      <c r="F50" s="43"/>
      <c r="G50" s="43"/>
      <c r="H50" s="43"/>
      <c r="I50" s="43"/>
    </row>
    <row r="51" spans="2:9">
      <c r="B51" s="49" t="s">
        <v>51</v>
      </c>
      <c r="C51" s="50"/>
      <c r="D51" s="43"/>
      <c r="E51" s="43"/>
      <c r="F51" s="43"/>
      <c r="G51" s="43"/>
      <c r="H51" s="43"/>
      <c r="I51" s="43"/>
    </row>
    <row r="52" spans="2:9">
      <c r="B52" s="51" t="s">
        <v>58</v>
      </c>
      <c r="C52" s="50"/>
      <c r="D52" s="136"/>
      <c r="E52" s="46" t="e">
        <f>E66</f>
        <v>#DIV/0!</v>
      </c>
      <c r="F52" s="46" t="e">
        <f>F66</f>
        <v>#DIV/0!</v>
      </c>
      <c r="G52" s="46" t="e">
        <f>G66</f>
        <v>#DIV/0!</v>
      </c>
      <c r="H52" s="46" t="e">
        <f>H66</f>
        <v>#DIV/0!</v>
      </c>
      <c r="I52" s="46" t="e">
        <f>I66</f>
        <v>#DIV/0!</v>
      </c>
    </row>
    <row r="53" spans="2:9">
      <c r="B53" s="51" t="s">
        <v>73</v>
      </c>
      <c r="C53" s="50"/>
      <c r="D53" s="137"/>
      <c r="E53" s="47" t="e">
        <f>E67</f>
        <v>#DIV/0!</v>
      </c>
      <c r="F53" s="47" t="e">
        <f>F67</f>
        <v>#DIV/0!</v>
      </c>
      <c r="G53" s="47" t="e">
        <f>G67</f>
        <v>#DIV/0!</v>
      </c>
      <c r="H53" s="47" t="e">
        <f>H67</f>
        <v>#DIV/0!</v>
      </c>
      <c r="I53" s="47" t="e">
        <f>I67</f>
        <v>#DIV/0!</v>
      </c>
    </row>
    <row r="54" spans="2:9">
      <c r="B54" s="51" t="s">
        <v>72</v>
      </c>
      <c r="C54" s="50"/>
      <c r="D54" s="136"/>
      <c r="E54" s="46" t="e">
        <f>E68</f>
        <v>#DIV/0!</v>
      </c>
      <c r="F54" s="46" t="e">
        <f>F68</f>
        <v>#DIV/0!</v>
      </c>
      <c r="G54" s="46" t="e">
        <f>G68</f>
        <v>#DIV/0!</v>
      </c>
      <c r="H54" s="46" t="e">
        <f>H68</f>
        <v>#DIV/0!</v>
      </c>
      <c r="I54" s="46" t="e">
        <f>I68</f>
        <v>#DIV/0!</v>
      </c>
    </row>
    <row r="55" spans="2:9">
      <c r="B55" s="53" t="s">
        <v>74</v>
      </c>
      <c r="C55" s="50"/>
      <c r="D55" s="137"/>
      <c r="E55" s="47" t="e">
        <f>E69</f>
        <v>#DIV/0!</v>
      </c>
      <c r="F55" s="47" t="e">
        <f>F69</f>
        <v>#DIV/0!</v>
      </c>
      <c r="G55" s="47" t="e">
        <f>G69</f>
        <v>#DIV/0!</v>
      </c>
      <c r="H55" s="47" t="e">
        <f>H69</f>
        <v>#DIV/0!</v>
      </c>
      <c r="I55" s="47" t="e">
        <f>I69</f>
        <v>#DIV/0!</v>
      </c>
    </row>
    <row r="56" spans="2:9">
      <c r="B56" s="49"/>
      <c r="C56" s="50"/>
      <c r="D56" s="44"/>
      <c r="E56" s="44"/>
      <c r="F56" s="44"/>
      <c r="G56" s="44"/>
      <c r="H56" s="43"/>
      <c r="I56" s="43"/>
    </row>
    <row r="57" spans="2:9">
      <c r="B57" s="53"/>
      <c r="C57" s="50"/>
      <c r="D57" s="44"/>
      <c r="E57" s="44"/>
      <c r="F57" s="44"/>
      <c r="G57" s="44"/>
      <c r="H57" s="43"/>
      <c r="I57" s="43"/>
    </row>
    <row r="58" spans="2:9">
      <c r="B58" s="56"/>
      <c r="C58" s="57"/>
      <c r="D58" s="62"/>
      <c r="E58" s="62"/>
      <c r="F58" s="62"/>
      <c r="G58" s="62"/>
      <c r="H58" s="48"/>
      <c r="I58" s="48"/>
    </row>
    <row r="63" spans="2:11">
      <c r="B63" t="s">
        <v>132</v>
      </c>
      <c r="D63" s="32"/>
      <c r="E63" s="32" t="e">
        <f>SUM(E30:E31)/E23</f>
        <v>#DIV/0!</v>
      </c>
      <c r="F63" s="32" t="e">
        <f>SUM(F30:F31)/F23</f>
        <v>#DIV/0!</v>
      </c>
      <c r="G63" s="32" t="e">
        <f>SUM(G30:G31)/G23</f>
        <v>#DIV/0!</v>
      </c>
      <c r="H63" s="32" t="e">
        <f>SUM(H30:H31)/H23</f>
        <v>#DIV/0!</v>
      </c>
      <c r="I63" s="32" t="e">
        <f>SUM(I30:I31)/I23</f>
        <v>#DIV/0!</v>
      </c>
      <c r="J63" s="134"/>
      <c r="K63" s="134"/>
    </row>
    <row r="64" spans="2:11">
      <c r="B64" t="s">
        <v>133</v>
      </c>
      <c r="D64" s="32"/>
      <c r="E64" s="32" t="e">
        <f>E32/E24</f>
        <v>#DIV/0!</v>
      </c>
      <c r="F64" s="32" t="e">
        <f>F32/F24</f>
        <v>#DIV/0!</v>
      </c>
      <c r="G64" s="32" t="e">
        <f>G32/G24</f>
        <v>#DIV/0!</v>
      </c>
      <c r="H64" s="32" t="e">
        <f>H32/H24</f>
        <v>#DIV/0!</v>
      </c>
      <c r="I64" s="32" t="e">
        <f>I32/I24</f>
        <v>#DIV/0!</v>
      </c>
      <c r="J64" s="134"/>
      <c r="K64" s="134"/>
    </row>
    <row r="65" spans="2:11">
      <c r="B65" s="89" t="s">
        <v>134</v>
      </c>
      <c r="D65" s="32"/>
      <c r="E65" s="32" t="e">
        <f>E38/E25</f>
        <v>#DIV/0!</v>
      </c>
      <c r="F65" s="32" t="e">
        <f>F38/F25</f>
        <v>#DIV/0!</v>
      </c>
      <c r="G65" s="32" t="e">
        <f>G38/G25</f>
        <v>#DIV/0!</v>
      </c>
      <c r="H65" s="32" t="e">
        <f>H38/H25</f>
        <v>#DIV/0!</v>
      </c>
      <c r="I65" s="32" t="e">
        <f>I38/I25</f>
        <v>#DIV/0!</v>
      </c>
      <c r="J65" s="134"/>
      <c r="K65" s="134"/>
    </row>
    <row r="66" spans="2:11">
      <c r="B66" t="s">
        <v>58</v>
      </c>
      <c r="D66" s="32"/>
      <c r="E66" s="32" t="e">
        <f>E63-E65</f>
        <v>#DIV/0!</v>
      </c>
      <c r="F66" s="32" t="e">
        <f>F63-F65</f>
        <v>#DIV/0!</v>
      </c>
      <c r="G66" s="32" t="e">
        <f>G63-G65</f>
        <v>#DIV/0!</v>
      </c>
      <c r="H66" s="32" t="e">
        <f>H63-H65</f>
        <v>#DIV/0!</v>
      </c>
      <c r="I66" s="32" t="e">
        <f>I63-I65</f>
        <v>#DIV/0!</v>
      </c>
      <c r="J66" s="134"/>
      <c r="K66" s="134"/>
    </row>
    <row r="67" spans="2:11">
      <c r="B67" t="s">
        <v>135</v>
      </c>
      <c r="D67" s="32"/>
      <c r="E67" s="32" t="e">
        <f>E41/E66</f>
        <v>#DIV/0!</v>
      </c>
      <c r="F67" s="32" t="e">
        <f>F41/F66</f>
        <v>#DIV/0!</v>
      </c>
      <c r="G67" s="32" t="e">
        <f>G41/G66</f>
        <v>#DIV/0!</v>
      </c>
      <c r="H67" s="32" t="e">
        <f>H41/H66</f>
        <v>#DIV/0!</v>
      </c>
      <c r="I67" s="32" t="e">
        <f>I41/I66</f>
        <v>#DIV/0!</v>
      </c>
      <c r="J67" s="32"/>
      <c r="K67" s="32"/>
    </row>
    <row r="68" spans="2:11">
      <c r="B68" t="s">
        <v>72</v>
      </c>
      <c r="D68" s="32"/>
      <c r="E68" s="32" t="e">
        <f>E64-E65</f>
        <v>#DIV/0!</v>
      </c>
      <c r="F68" s="32" t="e">
        <f>F64-F65</f>
        <v>#DIV/0!</v>
      </c>
      <c r="G68" s="32" t="e">
        <f>G64-G65</f>
        <v>#DIV/0!</v>
      </c>
      <c r="H68" s="32" t="e">
        <f>H64-H65</f>
        <v>#DIV/0!</v>
      </c>
      <c r="I68" s="32" t="e">
        <f>I64-I65</f>
        <v>#DIV/0!</v>
      </c>
      <c r="J68" s="134"/>
      <c r="K68" s="134"/>
    </row>
    <row r="69" spans="2:11">
      <c r="B69" t="s">
        <v>136</v>
      </c>
      <c r="D69" s="32"/>
      <c r="E69" s="32" t="e">
        <f>E41/E68</f>
        <v>#DIV/0!</v>
      </c>
      <c r="F69" s="32" t="e">
        <f>F41/F68</f>
        <v>#DIV/0!</v>
      </c>
      <c r="G69" s="32" t="e">
        <f>G41/G68</f>
        <v>#DIV/0!</v>
      </c>
      <c r="H69" s="32" t="e">
        <f>H41/H68</f>
        <v>#DIV/0!</v>
      </c>
      <c r="I69" s="32" t="e">
        <f>I41/I68</f>
        <v>#DIV/0!</v>
      </c>
      <c r="J69" s="32"/>
      <c r="K69" s="32"/>
    </row>
  </sheetData>
  <mergeCells count="2">
    <mergeCell ref="E5:I5"/>
    <mergeCell ref="D27:I27"/>
  </mergeCells>
  <pageMargins left="0.70866141732283472" right="0.70866141732283472" top="0.74803149606299213" bottom="0.74803149606299213" header="0.31496062992125984" footer="0.31496062992125984"/>
  <pageSetup paperSize="9" scale="76" orientation="portrait"/>
  <headerFooter scaleWithDoc="1" alignWithMargins="1" differentFirst="0" differentOddEven="0">
    <oddHeader>&amp;R&amp;A</oddHeader>
    <oddFooter>&amp;L&amp;Z&amp;F&amp;R&amp;D</oddFooter>
  </headerFooter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FFC000"/>
  </sheetPr>
  <dimension ref="A1:Q99"/>
  <sheetViews>
    <sheetView topLeftCell="A47" zoomScale="85" view="normal" workbookViewId="0">
      <selection pane="topLeft" activeCell="A88" sqref="A88"/>
    </sheetView>
  </sheetViews>
  <sheetFormatPr defaultRowHeight="15"/>
  <cols>
    <col min="1" max="1" width="76.75390625" bestFit="1" customWidth="1"/>
    <col min="2" max="2" width="7.125" bestFit="1" customWidth="1"/>
    <col min="3" max="3" width="8.00390625" bestFit="1" customWidth="1"/>
    <col min="4" max="4" width="6.25390625" customWidth="1"/>
    <col min="5" max="8" width="8.00390625" bestFit="1" customWidth="1"/>
    <col min="9" max="9" width="56.25390625" bestFit="1" customWidth="1"/>
    <col min="10" max="10" width="14.875" bestFit="1" customWidth="1"/>
    <col min="11" max="11" width="8.00390625" bestFit="1" customWidth="1"/>
    <col min="12" max="12" width="8.00390625" style="32" bestFit="1" customWidth="1"/>
    <col min="13" max="16" width="8.125" style="32" bestFit="1" customWidth="1"/>
  </cols>
  <sheetData>
    <row r="1" spans="1:16" s="26" customFormat="1" ht="42" customHeight="1">
      <c r="A1" s="109" t="s">
        <v>100</v>
      </c>
      <c r="L1" s="102"/>
      <c r="M1" s="102"/>
      <c r="N1" s="102"/>
      <c r="O1" s="102"/>
      <c r="P1" s="102"/>
    </row>
    <row r="2" spans="1:1">
      <c r="A2" s="108"/>
    </row>
    <row r="3" spans="1:1">
      <c r="A3" s="1" t="s">
        <v>26</v>
      </c>
    </row>
    <row r="4" spans="1:1" ht="18.75">
      <c r="A4" s="38" t="str">
        <f>Summary!A2</f>
        <v>Name of Course</v>
      </c>
    </row>
    <row r="5" spans="1:16" s="10" customFormat="1">
      <c r="A5" s="71"/>
      <c r="L5" s="90"/>
      <c r="M5" s="90"/>
      <c r="N5" s="90"/>
      <c r="O5" s="90"/>
      <c r="P5" s="90"/>
    </row>
    <row r="6" spans="1:16" s="10" customFormat="1" ht="18.75">
      <c r="A6" s="38" t="s">
        <v>99</v>
      </c>
      <c r="L6" s="90"/>
      <c r="M6" s="90"/>
      <c r="N6" s="90"/>
      <c r="O6" s="90"/>
      <c r="P6" s="90"/>
    </row>
    <row r="7" spans="1:16" s="10" customFormat="1">
      <c r="A7" s="71"/>
      <c r="L7" s="90"/>
      <c r="M7" s="90"/>
      <c r="N7" s="90"/>
      <c r="O7" s="90"/>
      <c r="P7" s="90"/>
    </row>
    <row r="8" spans="11:16">
      <c r="K8" s="306" t="s">
        <v>33</v>
      </c>
      <c r="L8" s="306"/>
      <c r="M8" s="306"/>
      <c r="N8" s="306"/>
      <c r="O8" s="306"/>
      <c r="P8" s="306"/>
    </row>
    <row r="9" spans="1:16" ht="15.75" thickBot="1">
      <c r="A9" s="23" t="s">
        <v>124</v>
      </c>
      <c r="B9" s="21"/>
      <c r="C9" s="24" t="str">
        <f>'Mid Summary'!D6</f>
        <v>2020/21</v>
      </c>
      <c r="D9" s="24" t="str">
        <f>'Mid Summary'!E6</f>
        <v>2021/22</v>
      </c>
      <c r="E9" s="24" t="str">
        <f>'Mid Summary'!F6</f>
        <v>2022/23</v>
      </c>
      <c r="F9" s="24" t="str">
        <f>'Mid Summary'!G6</f>
        <v>2023/24</v>
      </c>
      <c r="G9" s="24" t="str">
        <f>'Mid Summary'!H6</f>
        <v>2024/25</v>
      </c>
      <c r="H9" s="24" t="str">
        <f>'Mid Summary'!I6</f>
        <v>2025/26</v>
      </c>
      <c r="K9" s="141" t="str">
        <f>C9</f>
        <v>2020/21</v>
      </c>
      <c r="L9" s="141" t="str">
        <f>D9</f>
        <v>2021/22</v>
      </c>
      <c r="M9" s="141" t="str">
        <f>E9</f>
        <v>2022/23</v>
      </c>
      <c r="N9" s="141" t="str">
        <f>F9</f>
        <v>2023/24</v>
      </c>
      <c r="O9" s="141" t="str">
        <f>G9</f>
        <v>2024/25</v>
      </c>
      <c r="P9" s="141" t="str">
        <f>H9</f>
        <v>2025/26</v>
      </c>
    </row>
    <row r="10" spans="1:16" s="108" customFormat="1">
      <c r="A10" s="27" t="s">
        <v>66</v>
      </c>
      <c r="B10" s="21"/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129"/>
      <c r="K10" s="130">
        <f>C10*'Mid Summary'!$C$9</f>
        <v>0</v>
      </c>
      <c r="L10" s="130">
        <f>D10*'Mid Summary'!$C$9</f>
        <v>0</v>
      </c>
      <c r="M10" s="130">
        <f>E10*'Mid Summary'!$C$9</f>
        <v>0</v>
      </c>
      <c r="N10" s="130">
        <f>F10*'Mid Summary'!$C$9</f>
        <v>0</v>
      </c>
      <c r="O10" s="130">
        <f>G10*'Mid Summary'!$C$9</f>
        <v>0</v>
      </c>
      <c r="P10" s="130">
        <f>H10*'Mid Summary'!$C$9</f>
        <v>0</v>
      </c>
    </row>
    <row r="11" spans="1:16" s="108" customFormat="1">
      <c r="A11" s="27" t="s">
        <v>120</v>
      </c>
      <c r="B11" s="21"/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129"/>
      <c r="K11" s="130">
        <f>C11*'Mid Summary'!$C$10</f>
        <v>0</v>
      </c>
      <c r="L11" s="130">
        <f>D11*'Mid Summary'!$C$10</f>
        <v>0</v>
      </c>
      <c r="M11" s="130">
        <f>E11*'Mid Summary'!$C$10</f>
        <v>0</v>
      </c>
      <c r="N11" s="130">
        <f>F11*'Mid Summary'!$C$10</f>
        <v>0</v>
      </c>
      <c r="O11" s="130">
        <f>G11*'Mid Summary'!$C$10</f>
        <v>0</v>
      </c>
      <c r="P11" s="130">
        <f>H11*'Mid Summary'!$C$10</f>
        <v>0</v>
      </c>
    </row>
    <row r="12" spans="1:16" s="108" customFormat="1">
      <c r="A12" s="27" t="s">
        <v>121</v>
      </c>
      <c r="B12" s="21"/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129"/>
      <c r="K12" s="130">
        <f>C12*'Mid Summary'!$C$10</f>
        <v>0</v>
      </c>
      <c r="L12" s="130">
        <f>D12*'Mid Summary'!$C$10</f>
        <v>0</v>
      </c>
      <c r="M12" s="130">
        <f>E12*'Mid Summary'!$C$10</f>
        <v>0</v>
      </c>
      <c r="N12" s="130">
        <f>F12*'Mid Summary'!$C$10</f>
        <v>0</v>
      </c>
      <c r="O12" s="130">
        <f>G12*'Mid Summary'!$C$10</f>
        <v>0</v>
      </c>
      <c r="P12" s="130">
        <f>H12*'Mid Summary'!$C$10</f>
        <v>0</v>
      </c>
    </row>
    <row r="13" spans="1:16">
      <c r="A13" s="29" t="s">
        <v>119</v>
      </c>
      <c r="B13" s="21"/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10"/>
      <c r="K13" s="130">
        <f>C13*'Mid Summary'!$C$11</f>
        <v>0</v>
      </c>
      <c r="L13" s="130">
        <f>D13*'Mid Summary'!$C$11</f>
        <v>0</v>
      </c>
      <c r="M13" s="130">
        <f>E13*'Mid Summary'!$C$11</f>
        <v>0</v>
      </c>
      <c r="N13" s="130">
        <f>F13*'Mid Summary'!$C$11</f>
        <v>0</v>
      </c>
      <c r="O13" s="130">
        <f>G13*'Mid Summary'!$C$11</f>
        <v>0</v>
      </c>
      <c r="P13" s="130">
        <f>H13*'Mid Summary'!$C$11</f>
        <v>0</v>
      </c>
    </row>
    <row r="14" spans="1:16">
      <c r="A14" s="27" t="s">
        <v>57</v>
      </c>
      <c r="B14" s="21"/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10"/>
      <c r="K14" s="32">
        <f>C14*'Mid Summary'!$C$12</f>
        <v>0</v>
      </c>
      <c r="L14" s="32">
        <f>D14*'Mid Summary'!$C$12</f>
        <v>0</v>
      </c>
      <c r="M14" s="32">
        <f>E14*'Mid Summary'!$C$12</f>
        <v>0</v>
      </c>
      <c r="N14" s="32">
        <f>F14*'Mid Summary'!$C$12</f>
        <v>0</v>
      </c>
      <c r="O14" s="32">
        <f>G14*'Mid Summary'!$C$12</f>
        <v>0</v>
      </c>
      <c r="P14" s="32">
        <f>H14*'Mid Summary'!$C$12</f>
        <v>0</v>
      </c>
    </row>
    <row r="15" spans="1:16">
      <c r="A15" s="29" t="s">
        <v>71</v>
      </c>
      <c r="B15" s="21"/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10"/>
      <c r="K15" s="32">
        <f>C15*'Mid Summary'!$C$13</f>
        <v>0</v>
      </c>
      <c r="L15" s="32">
        <f>(D15*0*3000)+(D15*1500)</f>
        <v>0</v>
      </c>
      <c r="M15" s="32">
        <f>(E15*0.25*3000)+(E15*0.75*(1500))</f>
        <v>0</v>
      </c>
      <c r="N15" s="32">
        <f>(F15*0.25*3000)+(F15*0.75*(1500))</f>
        <v>0</v>
      </c>
      <c r="O15" s="32">
        <f>(G15*0.25*3000)+(G15*0.75*(1500))</f>
        <v>0</v>
      </c>
      <c r="P15" s="32">
        <f>(H15*0.25*3000)+(H15*0.75*(1500))</f>
        <v>0</v>
      </c>
    </row>
    <row r="16" spans="1:16">
      <c r="A16" s="27" t="s">
        <v>122</v>
      </c>
      <c r="B16" s="21"/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10"/>
      <c r="K16" s="32">
        <f>C16*'Mid Summary'!$C$14</f>
        <v>0</v>
      </c>
      <c r="L16" s="32">
        <f>D16*'Mid Summary'!$C$14</f>
        <v>0</v>
      </c>
      <c r="M16" s="32">
        <f>E16*'Mid Summary'!$C$14</f>
        <v>0</v>
      </c>
      <c r="N16" s="32">
        <f>F16*'Mid Summary'!$C$14</f>
        <v>0</v>
      </c>
      <c r="O16" s="32">
        <f>G16*'Mid Summary'!$C$14</f>
        <v>0</v>
      </c>
      <c r="P16" s="32">
        <f>H16*'Mid Summary'!$C$14</f>
        <v>0</v>
      </c>
    </row>
    <row r="17" spans="1:16">
      <c r="A17" s="27" t="s">
        <v>81</v>
      </c>
      <c r="B17" s="21"/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10"/>
      <c r="K17" s="32">
        <f>C17*'Mid Summary'!$C$15</f>
        <v>0</v>
      </c>
      <c r="L17" s="32">
        <f>D17*'Mid Summary'!$C$15</f>
        <v>0</v>
      </c>
      <c r="M17" s="32">
        <f>E17*'Mid Summary'!$C$15</f>
        <v>0</v>
      </c>
      <c r="N17" s="32">
        <f>F17*'Mid Summary'!$C$15</f>
        <v>0</v>
      </c>
      <c r="O17" s="32">
        <f>G17*'Mid Summary'!$C$15</f>
        <v>0</v>
      </c>
      <c r="P17" s="32">
        <f>H17*'Mid Summary'!$C$15</f>
        <v>0</v>
      </c>
    </row>
    <row r="18" spans="1:16">
      <c r="A18" s="27" t="s">
        <v>82</v>
      </c>
      <c r="B18" s="21"/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10"/>
      <c r="K18" s="32">
        <f>C18*'Mid Summary'!$C$15</f>
        <v>0</v>
      </c>
      <c r="L18" s="32">
        <f>D18*'Mid Summary'!$C$15</f>
        <v>0</v>
      </c>
      <c r="M18" s="32">
        <f>E18*'Mid Summary'!$C$15</f>
        <v>0</v>
      </c>
      <c r="N18" s="32">
        <f>F18*'Mid Summary'!$C$15</f>
        <v>0</v>
      </c>
      <c r="O18" s="32">
        <f>G18*'Mid Summary'!$C$15</f>
        <v>0</v>
      </c>
      <c r="P18" s="32">
        <f>H18*'Mid Summary'!$C$15</f>
        <v>0</v>
      </c>
    </row>
    <row r="19" spans="1:16">
      <c r="A19" s="27" t="s">
        <v>83</v>
      </c>
      <c r="B19" s="21"/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10"/>
      <c r="K19" s="32">
        <f>C19*'Mid Summary'!$C$15</f>
        <v>0</v>
      </c>
      <c r="L19" s="32">
        <f>D19*'Mid Summary'!$C$15</f>
        <v>0</v>
      </c>
      <c r="M19" s="32">
        <f>E19*'Mid Summary'!$C$15</f>
        <v>0</v>
      </c>
      <c r="N19" s="32">
        <f>F19*'Mid Summary'!$C$15</f>
        <v>0</v>
      </c>
      <c r="O19" s="32">
        <f>G19*'Mid Summary'!$C$15</f>
        <v>0</v>
      </c>
      <c r="P19" s="32">
        <f>H19*'Mid Summary'!$C$15</f>
        <v>0</v>
      </c>
    </row>
    <row r="20" spans="1:16">
      <c r="A20" s="29" t="s">
        <v>126</v>
      </c>
      <c r="B20" s="21"/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10"/>
      <c r="K20" s="32">
        <f>C20*'Mid Summary'!$C$15</f>
        <v>0</v>
      </c>
      <c r="L20" s="32">
        <f>D20*'Mid Summary'!$C$15</f>
        <v>0</v>
      </c>
      <c r="M20" s="32">
        <f>E20*'Mid Summary'!$C$15</f>
        <v>0</v>
      </c>
      <c r="N20" s="32">
        <f>F20*'Mid Summary'!$C$15</f>
        <v>0</v>
      </c>
      <c r="O20" s="32">
        <f>G20*'Mid Summary'!$C$15</f>
        <v>0</v>
      </c>
      <c r="P20" s="32">
        <f>H20*'Mid Summary'!$C$15</f>
        <v>0</v>
      </c>
    </row>
    <row r="21" spans="1:16">
      <c r="A21" s="27" t="s">
        <v>84</v>
      </c>
      <c r="B21" s="21"/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10"/>
      <c r="K21" s="32">
        <f>C21*'Mid Summary'!$C$15</f>
        <v>0</v>
      </c>
      <c r="L21" s="32">
        <f>D21*'Mid Summary'!$C$15</f>
        <v>0</v>
      </c>
      <c r="M21" s="32">
        <f>E21*'Mid Summary'!$C$15</f>
        <v>0</v>
      </c>
      <c r="N21" s="32">
        <f>F21*'Mid Summary'!$C$15</f>
        <v>0</v>
      </c>
      <c r="O21" s="32">
        <f>G21*'Mid Summary'!$C$15</f>
        <v>0</v>
      </c>
      <c r="P21" s="32">
        <f>H21*'Mid Summary'!$C$15</f>
        <v>0</v>
      </c>
    </row>
    <row r="22" spans="1:16">
      <c r="A22" s="29" t="s">
        <v>94</v>
      </c>
      <c r="B22" s="21"/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10"/>
      <c r="K22" s="32">
        <f>C22*'Mid Summary'!$C$15</f>
        <v>0</v>
      </c>
      <c r="L22" s="32">
        <f>D22*'Mid Summary'!$C$15</f>
        <v>0</v>
      </c>
      <c r="M22" s="32">
        <f>E22*'Mid Summary'!$C$15</f>
        <v>0</v>
      </c>
      <c r="N22" s="32">
        <f>F22*'Mid Summary'!$C$15</f>
        <v>0</v>
      </c>
      <c r="O22" s="32">
        <f>G22*'Mid Summary'!$C$15</f>
        <v>0</v>
      </c>
      <c r="P22" s="32">
        <f>H22*'Mid Summary'!$C$15</f>
        <v>0</v>
      </c>
    </row>
    <row r="23" spans="1:16">
      <c r="A23" s="27" t="s">
        <v>123</v>
      </c>
      <c r="B23" s="21"/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10"/>
      <c r="K23" s="32">
        <f>C23*'Mid Summary'!$C$15</f>
        <v>0</v>
      </c>
      <c r="L23" s="32">
        <f>D23*'Mid Summary'!$C$15</f>
        <v>0</v>
      </c>
      <c r="M23" s="32">
        <f>E23*'Mid Summary'!$C$15</f>
        <v>0</v>
      </c>
      <c r="N23" s="32">
        <f>F23*'Mid Summary'!$C$15</f>
        <v>0</v>
      </c>
      <c r="O23" s="32">
        <f>G23*'Mid Summary'!$C$15</f>
        <v>0</v>
      </c>
      <c r="P23" s="32">
        <f>H23*'Mid Summary'!$C$15</f>
        <v>0</v>
      </c>
    </row>
    <row r="24" spans="1:11">
      <c r="A24" s="27"/>
      <c r="B24" s="21"/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10"/>
      <c r="K24" s="90"/>
    </row>
    <row r="25" spans="1:16" ht="15.75" thickBot="1">
      <c r="A25" s="29" t="s">
        <v>130</v>
      </c>
      <c r="B25" s="21"/>
      <c r="C25" s="75">
        <f>SUM(C10:C24)</f>
        <v>0</v>
      </c>
      <c r="D25" s="75">
        <f>SUM(D10:D24)</f>
        <v>0</v>
      </c>
      <c r="E25" s="75">
        <f>SUM(E10:E24)</f>
        <v>0</v>
      </c>
      <c r="F25" s="75">
        <f>SUM(F10:F24)</f>
        <v>0</v>
      </c>
      <c r="G25" s="75">
        <f>SUM(G10:G24)</f>
        <v>0</v>
      </c>
      <c r="H25" s="75">
        <f>SUM(H10:H24)</f>
        <v>0</v>
      </c>
      <c r="I25" s="10"/>
      <c r="K25" s="174">
        <f>SUM(K10:K23)</f>
        <v>0</v>
      </c>
      <c r="L25" s="105">
        <f>SUM(L10:L23)</f>
        <v>0</v>
      </c>
      <c r="M25" s="105">
        <f>SUM(M10:M23)</f>
        <v>0</v>
      </c>
      <c r="N25" s="105">
        <f>SUM(N10:N23)</f>
        <v>0</v>
      </c>
      <c r="O25" s="105">
        <f>SUM(O10:O23)</f>
        <v>0</v>
      </c>
      <c r="P25" s="105">
        <f>SUM(P10:P23)</f>
        <v>0</v>
      </c>
    </row>
    <row r="26" spans="1:9" ht="15.75" thickTop="1">
      <c r="A26" s="30" t="s">
        <v>61</v>
      </c>
      <c r="C26" s="83">
        <f>SUM(C33,C36,C37,C38)</f>
        <v>0</v>
      </c>
      <c r="D26" s="83">
        <f>SUM(D33,D36,D37,D38)</f>
        <v>0</v>
      </c>
      <c r="E26" s="83">
        <f>SUM(E33,E36,E37,E38)</f>
        <v>0</v>
      </c>
      <c r="F26" s="83">
        <f>SUM(F33,F36,F37,F38)</f>
        <v>0</v>
      </c>
      <c r="G26" s="83">
        <f>SUM(G33,G36,G37,G38)</f>
        <v>0</v>
      </c>
      <c r="H26" s="83">
        <f>SUM(H33,H36,H37,H38)</f>
        <v>0</v>
      </c>
      <c r="I26" s="10"/>
    </row>
    <row r="27" spans="1:9">
      <c r="A27" s="30" t="s">
        <v>62</v>
      </c>
      <c r="C27" s="83">
        <f>SUM(C40,C43,C44,C45)</f>
        <v>0</v>
      </c>
      <c r="D27" s="83">
        <f>SUM(D40,D43,D44,D45)</f>
        <v>0</v>
      </c>
      <c r="E27" s="83">
        <f>SUM(E40,E43,E44,E45)</f>
        <v>0</v>
      </c>
      <c r="F27" s="83">
        <f>SUM(F40,F43,F44,F45)</f>
        <v>0</v>
      </c>
      <c r="G27" s="83">
        <f>SUM(G40,G43,G44,G45)</f>
        <v>0</v>
      </c>
      <c r="H27" s="83">
        <f>SUM(H40,H43,H44,H45)</f>
        <v>0</v>
      </c>
      <c r="I27" s="10"/>
    </row>
    <row r="28" spans="1:9">
      <c r="A28" s="30" t="s">
        <v>63</v>
      </c>
      <c r="C28" s="83">
        <f>SUM(C34,C35,C39,C46)</f>
        <v>0</v>
      </c>
      <c r="D28" s="83">
        <f>SUM(D34,D35,D39,D46)</f>
        <v>0</v>
      </c>
      <c r="E28" s="83">
        <f>SUM(E34,E35,E39,E46)</f>
        <v>0</v>
      </c>
      <c r="F28" s="83">
        <f>SUM(F34,F35,F39,F46)</f>
        <v>0</v>
      </c>
      <c r="G28" s="83">
        <f>SUM(G34,G35,G39,G46)</f>
        <v>0</v>
      </c>
      <c r="H28" s="83">
        <f>SUM(H34,H35,H39,H46)</f>
        <v>0</v>
      </c>
      <c r="I28" s="10"/>
    </row>
    <row r="29" spans="1:9">
      <c r="A29" s="31" t="s">
        <v>131</v>
      </c>
      <c r="B29" s="21"/>
      <c r="C29" s="84">
        <f>SUM(C26:C28)</f>
        <v>0</v>
      </c>
      <c r="D29" s="84">
        <f>SUM(D26:D28)</f>
        <v>0</v>
      </c>
      <c r="E29" s="84">
        <f>SUM(E26:E28)</f>
        <v>0</v>
      </c>
      <c r="F29" s="84">
        <f>SUM(F26:F28)</f>
        <v>0</v>
      </c>
      <c r="G29" s="84">
        <f>SUM(G26:G28)</f>
        <v>0</v>
      </c>
      <c r="H29" s="84">
        <f>SUM(H26:H28)</f>
        <v>0</v>
      </c>
      <c r="I29" s="10"/>
    </row>
    <row r="30" spans="1:10">
      <c r="A30" s="63"/>
      <c r="C30" s="39"/>
      <c r="D30" s="39"/>
      <c r="E30" s="39"/>
      <c r="F30" s="39"/>
      <c r="G30" s="39"/>
      <c r="H30" s="39"/>
      <c r="J30" t="s">
        <v>310</v>
      </c>
    </row>
    <row r="31" spans="1:16">
      <c r="A31" s="21"/>
      <c r="B31" s="40"/>
      <c r="C31" s="40"/>
      <c r="D31" s="40"/>
      <c r="E31" s="40"/>
      <c r="F31" s="39"/>
      <c r="G31" s="39"/>
      <c r="H31" s="39"/>
      <c r="K31" s="306" t="s">
        <v>153</v>
      </c>
      <c r="L31" s="306"/>
      <c r="M31" s="306"/>
      <c r="N31" s="306"/>
      <c r="O31" s="306"/>
      <c r="P31" s="306"/>
    </row>
    <row r="32" spans="1:16" ht="15.75" thickBot="1">
      <c r="A32" s="23" t="s">
        <v>125</v>
      </c>
      <c r="B32" s="22" t="s">
        <v>43</v>
      </c>
      <c r="C32" s="40"/>
      <c r="D32" s="40"/>
      <c r="F32" s="39"/>
      <c r="G32" s="39"/>
      <c r="H32" s="39"/>
      <c r="K32" s="141" t="str">
        <f>K9</f>
        <v>2020/21</v>
      </c>
      <c r="L32" s="141" t="str">
        <f>L9</f>
        <v>2021/22</v>
      </c>
      <c r="M32" s="141" t="str">
        <f>M9</f>
        <v>2022/23</v>
      </c>
      <c r="N32" s="141" t="str">
        <f>N9</f>
        <v>2023/24</v>
      </c>
      <c r="O32" s="141" t="str">
        <f>O9</f>
        <v>2024/25</v>
      </c>
      <c r="P32" s="141" t="str">
        <f>P9</f>
        <v>2025/26</v>
      </c>
    </row>
    <row r="33" spans="1:16">
      <c r="A33" s="27" t="s">
        <v>66</v>
      </c>
      <c r="B33" s="85">
        <v>1</v>
      </c>
      <c r="C33" s="85">
        <f>C10*$B33</f>
        <v>0</v>
      </c>
      <c r="D33" s="85">
        <f>D10*$B33</f>
        <v>0</v>
      </c>
      <c r="E33" s="85">
        <f>E10*$B33</f>
        <v>0</v>
      </c>
      <c r="F33" s="85">
        <f>F10*$B33</f>
        <v>0</v>
      </c>
      <c r="G33" s="85">
        <f>G10*$B33</f>
        <v>0</v>
      </c>
      <c r="H33" s="85">
        <f>H10*$B33</f>
        <v>0</v>
      </c>
      <c r="J33" s="127">
        <f>'Ideal Case'!J33</f>
        <v>0</v>
      </c>
      <c r="K33" s="90"/>
      <c r="L33" s="90">
        <f>C33*$J$33</f>
        <v>0</v>
      </c>
      <c r="M33" s="90">
        <f>D33*$J$33</f>
        <v>0</v>
      </c>
      <c r="N33" s="90">
        <f>E33*$J$33</f>
        <v>0</v>
      </c>
      <c r="O33" s="90">
        <f>F33*$J$33</f>
        <v>0</v>
      </c>
      <c r="P33" s="90">
        <f>G33*$J$33</f>
        <v>0</v>
      </c>
    </row>
    <row r="34" spans="1:16">
      <c r="A34" s="27" t="s">
        <v>120</v>
      </c>
      <c r="B34" s="85">
        <v>0.5</v>
      </c>
      <c r="C34" s="85">
        <f>C11*$B34</f>
        <v>0</v>
      </c>
      <c r="D34" s="85">
        <f>D11*$B34</f>
        <v>0</v>
      </c>
      <c r="E34" s="85">
        <f>E11*$B34</f>
        <v>0</v>
      </c>
      <c r="F34" s="85">
        <f>F11*$B34</f>
        <v>0</v>
      </c>
      <c r="G34" s="85">
        <f>G11*$B34</f>
        <v>0</v>
      </c>
      <c r="H34" s="85">
        <f>H11*$B34</f>
        <v>0</v>
      </c>
      <c r="J34" s="127">
        <f>'Ideal Case'!J34</f>
        <v>0</v>
      </c>
      <c r="K34" s="90"/>
      <c r="L34" s="90">
        <f>C34*$J$33</f>
        <v>0</v>
      </c>
      <c r="M34" s="90">
        <f>D34*$J$33</f>
        <v>0</v>
      </c>
      <c r="N34" s="90">
        <f>E34*$J$33</f>
        <v>0</v>
      </c>
      <c r="O34" s="90">
        <f>F34*$J$33</f>
        <v>0</v>
      </c>
      <c r="P34" s="90">
        <f>G34*$J$33</f>
        <v>0</v>
      </c>
    </row>
    <row r="35" spans="1:16">
      <c r="A35" s="27" t="s">
        <v>121</v>
      </c>
      <c r="B35" s="85">
        <v>0.5</v>
      </c>
      <c r="C35" s="85">
        <f>C12*$B35</f>
        <v>0</v>
      </c>
      <c r="D35" s="85">
        <f>D12*$B35</f>
        <v>0</v>
      </c>
      <c r="E35" s="85">
        <f>E12*$B35</f>
        <v>0</v>
      </c>
      <c r="F35" s="85">
        <f>F12*$B35</f>
        <v>0</v>
      </c>
      <c r="G35" s="85">
        <f>G12*$B35</f>
        <v>0</v>
      </c>
      <c r="H35" s="85">
        <f>H12*$B35</f>
        <v>0</v>
      </c>
      <c r="J35" s="127">
        <f>'Ideal Case'!J35</f>
        <v>0</v>
      </c>
      <c r="K35" s="90"/>
      <c r="L35" s="90">
        <f>C35*$J$33</f>
        <v>0</v>
      </c>
      <c r="M35" s="90">
        <f>D35*$J$33</f>
        <v>0</v>
      </c>
      <c r="N35" s="90">
        <f>E35*$J$33</f>
        <v>0</v>
      </c>
      <c r="O35" s="90">
        <f>F35*$J$33</f>
        <v>0</v>
      </c>
      <c r="P35" s="90">
        <f>G35*$J$33</f>
        <v>0</v>
      </c>
    </row>
    <row r="36" spans="1:16">
      <c r="A36" s="29" t="s">
        <v>119</v>
      </c>
      <c r="B36" s="85">
        <v>1</v>
      </c>
      <c r="C36" s="85">
        <f>C13*$B36</f>
        <v>0</v>
      </c>
      <c r="D36" s="85">
        <f>D13*$B36</f>
        <v>0</v>
      </c>
      <c r="E36" s="85">
        <f>E13*$B36</f>
        <v>0</v>
      </c>
      <c r="F36" s="85">
        <f>F13*$B36</f>
        <v>0</v>
      </c>
      <c r="G36" s="85">
        <f>G13*$B36</f>
        <v>0</v>
      </c>
      <c r="H36" s="85">
        <f>H13*$B36</f>
        <v>0</v>
      </c>
      <c r="J36" s="127">
        <f>'Ideal Case'!J36</f>
        <v>0</v>
      </c>
      <c r="K36" s="90"/>
      <c r="L36" s="90">
        <f>C36*$J$33</f>
        <v>0</v>
      </c>
      <c r="M36" s="90">
        <f>D36*$J$33</f>
        <v>0</v>
      </c>
      <c r="N36" s="90">
        <f>E36*$J$33</f>
        <v>0</v>
      </c>
      <c r="O36" s="90">
        <f>F36*$J$33</f>
        <v>0</v>
      </c>
      <c r="P36" s="90">
        <f>G36*$J$33</f>
        <v>0</v>
      </c>
    </row>
    <row r="37" spans="1:16">
      <c r="A37" s="27" t="s">
        <v>57</v>
      </c>
      <c r="B37" s="85">
        <v>0.67</v>
      </c>
      <c r="C37" s="85">
        <f>C14*$B37</f>
        <v>0</v>
      </c>
      <c r="D37" s="85">
        <f>D14*$B37</f>
        <v>0</v>
      </c>
      <c r="E37" s="85">
        <f>E14*$B37</f>
        <v>0</v>
      </c>
      <c r="F37" s="85">
        <f>F14*$B37</f>
        <v>0</v>
      </c>
      <c r="G37" s="85">
        <f>G14*$B37</f>
        <v>0</v>
      </c>
      <c r="H37" s="85">
        <f>H14*$B37</f>
        <v>0</v>
      </c>
      <c r="J37" s="127">
        <f>'Ideal Case'!J37</f>
        <v>0</v>
      </c>
      <c r="K37" s="90"/>
      <c r="L37" s="90"/>
      <c r="M37" s="90"/>
      <c r="N37" s="90"/>
      <c r="O37" s="90"/>
      <c r="P37" s="90"/>
    </row>
    <row r="38" spans="1:16">
      <c r="A38" s="29" t="s">
        <v>71</v>
      </c>
      <c r="B38" s="85">
        <v>0.33</v>
      </c>
      <c r="C38" s="85">
        <f>C15*$B38</f>
        <v>0</v>
      </c>
      <c r="D38" s="85">
        <f>D15*$B38</f>
        <v>0</v>
      </c>
      <c r="E38" s="85">
        <f>E15*$B38</f>
        <v>0</v>
      </c>
      <c r="F38" s="85">
        <f>F15*$B38</f>
        <v>0</v>
      </c>
      <c r="G38" s="85">
        <f>G15*$B38</f>
        <v>0</v>
      </c>
      <c r="H38" s="85">
        <f>H15*$B38</f>
        <v>0</v>
      </c>
      <c r="J38" s="127">
        <f>'Ideal Case'!J38</f>
        <v>0</v>
      </c>
      <c r="K38" s="90"/>
      <c r="L38" s="90"/>
      <c r="M38" s="90"/>
      <c r="N38" s="90"/>
      <c r="O38" s="90"/>
      <c r="P38" s="90"/>
    </row>
    <row r="39" spans="1:16">
      <c r="A39" s="27" t="s">
        <v>122</v>
      </c>
      <c r="B39" s="85">
        <f>15/180</f>
        <v>0.083333333333333329</v>
      </c>
      <c r="C39" s="85">
        <f>C16*$B39</f>
        <v>0</v>
      </c>
      <c r="D39" s="85">
        <f>D16*$B39</f>
        <v>0</v>
      </c>
      <c r="E39" s="85">
        <f>E16*$B39</f>
        <v>0</v>
      </c>
      <c r="F39" s="85">
        <f>F16*$B39</f>
        <v>0</v>
      </c>
      <c r="G39" s="85">
        <f>G16*$B39</f>
        <v>0</v>
      </c>
      <c r="H39" s="85">
        <f>H16*$B39</f>
        <v>0</v>
      </c>
      <c r="K39" s="90"/>
      <c r="L39" s="90"/>
      <c r="M39" s="90"/>
      <c r="N39" s="90"/>
      <c r="O39" s="90"/>
      <c r="P39" s="90"/>
    </row>
    <row r="40" spans="1:16">
      <c r="A40" s="27" t="s">
        <v>81</v>
      </c>
      <c r="B40" s="85">
        <v>1</v>
      </c>
      <c r="C40" s="85">
        <f>C17*$B40</f>
        <v>0</v>
      </c>
      <c r="D40" s="85">
        <f>D17*$B40</f>
        <v>0</v>
      </c>
      <c r="E40" s="85">
        <f>E17*$B40</f>
        <v>0</v>
      </c>
      <c r="F40" s="85">
        <f>F17*$B40</f>
        <v>0</v>
      </c>
      <c r="G40" s="85">
        <f>G17*$B40</f>
        <v>0</v>
      </c>
      <c r="H40" s="85">
        <f>H17*$B40</f>
        <v>0</v>
      </c>
      <c r="K40" s="90"/>
      <c r="L40" s="90"/>
      <c r="M40" s="90"/>
      <c r="N40" s="90"/>
      <c r="O40" s="90"/>
      <c r="P40" s="90"/>
    </row>
    <row r="41" spans="1:16">
      <c r="A41" s="27" t="s">
        <v>82</v>
      </c>
      <c r="B41" s="85">
        <f>B37</f>
        <v>0.67</v>
      </c>
      <c r="C41" s="85">
        <f>C18*$B41</f>
        <v>0</v>
      </c>
      <c r="D41" s="85">
        <f>D18*$B41</f>
        <v>0</v>
      </c>
      <c r="E41" s="85">
        <f>E18*$B41</f>
        <v>0</v>
      </c>
      <c r="F41" s="85">
        <f>F18*$B41</f>
        <v>0</v>
      </c>
      <c r="G41" s="85">
        <f>G18*$B41</f>
        <v>0</v>
      </c>
      <c r="H41" s="85">
        <f>H18*$B41</f>
        <v>0</v>
      </c>
      <c r="K41" s="90"/>
      <c r="L41" s="90"/>
      <c r="M41" s="90"/>
      <c r="N41" s="90"/>
      <c r="O41" s="90"/>
      <c r="P41" s="90"/>
    </row>
    <row r="42" spans="1:16">
      <c r="A42" s="27" t="s">
        <v>83</v>
      </c>
      <c r="B42" s="85">
        <f>B38</f>
        <v>0.33</v>
      </c>
      <c r="C42" s="85">
        <f>C19*$B42</f>
        <v>0</v>
      </c>
      <c r="D42" s="85">
        <f>D19*$B42</f>
        <v>0</v>
      </c>
      <c r="E42" s="85">
        <f>E19*$B42</f>
        <v>0</v>
      </c>
      <c r="F42" s="85">
        <f>F19*$B42</f>
        <v>0</v>
      </c>
      <c r="G42" s="85">
        <f>G19*$B42</f>
        <v>0</v>
      </c>
      <c r="H42" s="85">
        <f>H19*$B42</f>
        <v>0</v>
      </c>
      <c r="K42" s="90"/>
      <c r="L42" s="90"/>
      <c r="M42" s="90"/>
      <c r="N42" s="90"/>
      <c r="O42" s="90"/>
      <c r="P42" s="90"/>
    </row>
    <row r="43" spans="1:16">
      <c r="A43" s="29" t="s">
        <v>126</v>
      </c>
      <c r="B43" s="85">
        <v>1</v>
      </c>
      <c r="C43" s="85">
        <f>C20*$B43</f>
        <v>0</v>
      </c>
      <c r="D43" s="85">
        <f>D20*$B43</f>
        <v>0</v>
      </c>
      <c r="E43" s="85">
        <f>E20*$B43</f>
        <v>0</v>
      </c>
      <c r="F43" s="85">
        <f>F20*$B43</f>
        <v>0</v>
      </c>
      <c r="G43" s="85">
        <f>G20*$B43</f>
        <v>0</v>
      </c>
      <c r="H43" s="85">
        <f>H20*$B43</f>
        <v>0</v>
      </c>
      <c r="K43" s="90"/>
      <c r="L43" s="90"/>
      <c r="M43" s="90"/>
      <c r="N43" s="90"/>
      <c r="O43" s="90"/>
      <c r="P43" s="90"/>
    </row>
    <row r="44" spans="1:16">
      <c r="A44" s="27" t="s">
        <v>95</v>
      </c>
      <c r="B44" s="85">
        <v>0.67</v>
      </c>
      <c r="C44" s="85">
        <f>C21*$B44</f>
        <v>0</v>
      </c>
      <c r="D44" s="85">
        <f>D21*$B44</f>
        <v>0</v>
      </c>
      <c r="E44" s="85">
        <f>E21*$B44</f>
        <v>0</v>
      </c>
      <c r="F44" s="85">
        <f>F21*$B44</f>
        <v>0</v>
      </c>
      <c r="G44" s="85">
        <f>G21*$B44</f>
        <v>0</v>
      </c>
      <c r="H44" s="85">
        <f>H21*$B44</f>
        <v>0</v>
      </c>
      <c r="K44" s="90"/>
      <c r="L44" s="90"/>
      <c r="M44" s="90"/>
      <c r="N44" s="90"/>
      <c r="O44" s="90"/>
      <c r="P44" s="90"/>
    </row>
    <row r="45" spans="1:16">
      <c r="A45" s="29" t="s">
        <v>94</v>
      </c>
      <c r="B45" s="85">
        <v>0.33</v>
      </c>
      <c r="C45" s="85">
        <f>C22*$B45</f>
        <v>0</v>
      </c>
      <c r="D45" s="85">
        <f>D22*$B45</f>
        <v>0</v>
      </c>
      <c r="E45" s="85">
        <f>E22*$B45</f>
        <v>0</v>
      </c>
      <c r="F45" s="85">
        <f>F22*$B45</f>
        <v>0</v>
      </c>
      <c r="G45" s="85">
        <f>G22*$B45</f>
        <v>0</v>
      </c>
      <c r="H45" s="85">
        <f>H22*$B45</f>
        <v>0</v>
      </c>
      <c r="K45" s="90"/>
      <c r="L45" s="90"/>
      <c r="M45" s="90"/>
      <c r="N45" s="90"/>
      <c r="O45" s="90"/>
      <c r="P45" s="90"/>
    </row>
    <row r="46" spans="1:16">
      <c r="A46" s="27" t="s">
        <v>75</v>
      </c>
      <c r="B46" s="85">
        <f>15/180</f>
        <v>0.083333333333333329</v>
      </c>
      <c r="C46" s="85">
        <f>C23*$B46</f>
        <v>0</v>
      </c>
      <c r="D46" s="85">
        <f>D23*$B46</f>
        <v>0</v>
      </c>
      <c r="E46" s="85">
        <f>E23*$B46</f>
        <v>0</v>
      </c>
      <c r="F46" s="85">
        <f>F23*$B46</f>
        <v>0</v>
      </c>
      <c r="G46" s="85">
        <f>G23*$B46</f>
        <v>0</v>
      </c>
      <c r="H46" s="85">
        <f>H23*$B46</f>
        <v>0</v>
      </c>
      <c r="K46" s="90"/>
      <c r="L46" s="90"/>
      <c r="M46" s="90"/>
      <c r="N46" s="90"/>
      <c r="O46" s="90"/>
      <c r="P46" s="90"/>
    </row>
    <row r="47" spans="1:16" customHeight="1" thickBot="1">
      <c r="A47" s="80"/>
      <c r="B47" s="81"/>
      <c r="C47" s="81"/>
      <c r="D47" s="81"/>
      <c r="E47" s="81"/>
      <c r="F47" s="81"/>
      <c r="G47" s="81"/>
      <c r="H47" s="81"/>
      <c r="I47" s="8"/>
      <c r="J47" s="8"/>
      <c r="K47" s="174">
        <f>SUM(K33:K46)</f>
        <v>0</v>
      </c>
      <c r="L47" s="174">
        <f>SUM(L33:L46)</f>
        <v>0</v>
      </c>
      <c r="M47" s="174">
        <f>SUM(M33:M46)</f>
        <v>0</v>
      </c>
      <c r="N47" s="174">
        <f>SUM(N33:N46)</f>
        <v>0</v>
      </c>
      <c r="O47" s="174">
        <f>SUM(O33:O46)</f>
        <v>0</v>
      </c>
      <c r="P47" s="174">
        <f>SUM(P33:P46)</f>
        <v>0</v>
      </c>
    </row>
    <row r="48" spans="1:16" ht="15.75" thickTop="1">
      <c r="A48" s="27"/>
      <c r="B48" s="81"/>
      <c r="C48" s="81"/>
      <c r="D48" s="81"/>
      <c r="E48" s="81"/>
      <c r="F48" s="81"/>
      <c r="G48" s="81"/>
      <c r="H48" s="81"/>
      <c r="K48" s="106"/>
      <c r="L48" s="106"/>
      <c r="M48" s="106"/>
      <c r="N48" s="106"/>
      <c r="O48" s="106"/>
      <c r="P48" s="106"/>
    </row>
    <row r="49" spans="1:16" customHeight="1" thickBot="1">
      <c r="A49" s="29" t="s">
        <v>129</v>
      </c>
      <c r="B49" s="40"/>
      <c r="C49" s="86">
        <f>SUM(C33:C47)</f>
        <v>0</v>
      </c>
      <c r="D49" s="86">
        <f>SUM(D33:D47)</f>
        <v>0</v>
      </c>
      <c r="E49" s="86">
        <f>SUM(E33:E47)</f>
        <v>0</v>
      </c>
      <c r="F49" s="86">
        <f>SUM(F33:F47)</f>
        <v>0</v>
      </c>
      <c r="G49" s="86">
        <f>SUM(G33:G47)</f>
        <v>0</v>
      </c>
      <c r="H49" s="86">
        <f>SUM(H33:H47)</f>
        <v>0</v>
      </c>
      <c r="J49" s="111" t="s">
        <v>106</v>
      </c>
      <c r="K49" s="175">
        <f>K25+K47</f>
        <v>0</v>
      </c>
      <c r="L49" s="112">
        <f>L25+L47</f>
        <v>0</v>
      </c>
      <c r="M49" s="112">
        <f>M25+M47</f>
        <v>0</v>
      </c>
      <c r="N49" s="112">
        <f>N25+N47</f>
        <v>0</v>
      </c>
      <c r="O49" s="112">
        <f>O25+O47</f>
        <v>0</v>
      </c>
      <c r="P49" s="112">
        <f>P25+P47</f>
        <v>0</v>
      </c>
    </row>
    <row r="50" spans="1:16" ht="15.75" thickTop="1">
      <c r="A50" s="21"/>
      <c r="B50" s="40"/>
      <c r="C50" s="133">
        <f>C49-C29</f>
        <v>0</v>
      </c>
      <c r="D50" s="133">
        <f>D49-D29</f>
        <v>0</v>
      </c>
      <c r="E50" s="133">
        <f>E49-E29</f>
        <v>0</v>
      </c>
      <c r="F50" s="133">
        <f>F49-F29</f>
        <v>0</v>
      </c>
      <c r="G50" s="133">
        <f>G49-G29</f>
        <v>0</v>
      </c>
      <c r="H50" s="133">
        <f>H49-H29</f>
        <v>0</v>
      </c>
      <c r="L50" s="107"/>
      <c r="M50" s="103"/>
      <c r="N50" s="103"/>
      <c r="O50" s="103"/>
      <c r="P50" s="103"/>
    </row>
    <row r="51" spans="1:16">
      <c r="A51" s="21"/>
      <c r="B51" s="40"/>
      <c r="C51" s="40"/>
      <c r="D51" s="40"/>
      <c r="E51" s="40"/>
      <c r="F51" s="39"/>
      <c r="G51" s="39"/>
      <c r="H51" s="39"/>
      <c r="L51" s="107"/>
      <c r="M51" s="110"/>
      <c r="N51" s="110"/>
      <c r="O51" s="110"/>
      <c r="P51" s="110"/>
    </row>
    <row r="52" spans="1:16">
      <c r="A52" s="21"/>
      <c r="B52" s="40"/>
      <c r="C52" s="40"/>
      <c r="D52" s="40"/>
      <c r="E52" s="40"/>
      <c r="F52" s="39"/>
      <c r="G52" s="39"/>
      <c r="H52" s="39"/>
      <c r="L52" s="107"/>
      <c r="M52" s="110"/>
      <c r="N52" s="110"/>
      <c r="O52" s="110"/>
      <c r="P52" s="110"/>
    </row>
    <row r="53" spans="1:16" ht="18.75">
      <c r="A53" s="38" t="s">
        <v>101</v>
      </c>
      <c r="K53" s="306" t="s">
        <v>42</v>
      </c>
      <c r="L53" s="306"/>
      <c r="M53" s="306"/>
      <c r="N53" s="306"/>
      <c r="O53" s="306"/>
      <c r="P53" s="306"/>
    </row>
    <row r="54" spans="1:16" ht="15.75" thickBot="1">
      <c r="A54" t="s">
        <v>156</v>
      </c>
      <c r="C54" s="24" t="str">
        <f>C9</f>
        <v>2020/21</v>
      </c>
      <c r="D54" s="24" t="str">
        <f>D9</f>
        <v>2021/22</v>
      </c>
      <c r="E54" s="24" t="str">
        <f>E9</f>
        <v>2022/23</v>
      </c>
      <c r="F54" s="24" t="str">
        <f>F9</f>
        <v>2023/24</v>
      </c>
      <c r="G54" s="24" t="str">
        <f>G9</f>
        <v>2024/25</v>
      </c>
      <c r="H54" s="24" t="str">
        <f>H9</f>
        <v>2025/26</v>
      </c>
      <c r="I54" s="88" t="s">
        <v>160</v>
      </c>
      <c r="J54" t="s">
        <v>161</v>
      </c>
      <c r="K54" s="141" t="str">
        <f>K32</f>
        <v>2020/21</v>
      </c>
      <c r="L54" s="141" t="str">
        <f>L32</f>
        <v>2021/22</v>
      </c>
      <c r="M54" s="141" t="str">
        <f>M32</f>
        <v>2022/23</v>
      </c>
      <c r="N54" s="141" t="str">
        <f>N32</f>
        <v>2023/24</v>
      </c>
      <c r="O54" s="141" t="str">
        <f>O32</f>
        <v>2024/25</v>
      </c>
      <c r="P54" s="141" t="str">
        <f>P32</f>
        <v>2025/26</v>
      </c>
    </row>
    <row r="55" spans="1:11">
      <c r="A55" s="1" t="s">
        <v>102</v>
      </c>
      <c r="B55" s="14" t="s">
        <v>25</v>
      </c>
      <c r="C55" s="15"/>
      <c r="D55" s="15" t="s">
        <v>56</v>
      </c>
      <c r="K55" s="32"/>
    </row>
    <row r="56" spans="1:17">
      <c r="A56" s="4" t="s">
        <v>154</v>
      </c>
      <c r="C56" s="69">
        <v>0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K56" s="104"/>
      <c r="L56" s="104"/>
      <c r="M56" s="104"/>
      <c r="N56" s="104"/>
      <c r="O56" s="104"/>
      <c r="P56" s="104"/>
      <c r="Q56" t="s">
        <v>309</v>
      </c>
    </row>
    <row r="57" spans="1:16">
      <c r="A57" s="4" t="s">
        <v>157</v>
      </c>
      <c r="C57" s="69">
        <v>0</v>
      </c>
      <c r="D57" s="69">
        <v>0</v>
      </c>
      <c r="E57" s="69">
        <v>0</v>
      </c>
      <c r="F57" s="69">
        <v>0</v>
      </c>
      <c r="G57" s="69">
        <v>0</v>
      </c>
      <c r="H57" s="69">
        <v>0</v>
      </c>
      <c r="K57" s="104"/>
      <c r="L57" s="104"/>
      <c r="M57" s="104"/>
      <c r="N57" s="104"/>
      <c r="O57" s="104"/>
      <c r="P57" s="104"/>
    </row>
    <row r="58" spans="1:16">
      <c r="A58" s="4" t="s">
        <v>158</v>
      </c>
      <c r="C58" s="69">
        <v>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K58" s="104"/>
      <c r="L58" s="104"/>
      <c r="M58" s="104"/>
      <c r="N58" s="104"/>
      <c r="O58" s="104"/>
      <c r="P58" s="104"/>
    </row>
    <row r="59" spans="1:16">
      <c r="A59" s="4" t="s">
        <v>159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177"/>
      <c r="K59" s="104"/>
      <c r="L59" s="104"/>
      <c r="M59" s="104"/>
      <c r="N59" s="104"/>
      <c r="O59" s="104"/>
      <c r="P59" s="104"/>
    </row>
    <row r="60" spans="1:16">
      <c r="A60" s="4" t="s">
        <v>148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K60" s="104"/>
      <c r="L60" s="104"/>
      <c r="M60" s="104"/>
      <c r="N60" s="104"/>
      <c r="O60" s="104"/>
      <c r="P60" s="104"/>
    </row>
    <row r="61" spans="1:16">
      <c r="A61" s="4" t="s">
        <v>155</v>
      </c>
      <c r="C61" s="69">
        <v>0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K61" s="104"/>
      <c r="L61" s="104"/>
      <c r="M61" s="104"/>
      <c r="N61" s="104"/>
      <c r="O61" s="104"/>
      <c r="P61" s="104"/>
    </row>
    <row r="62" spans="1:16">
      <c r="A62" s="4" t="s">
        <v>147</v>
      </c>
      <c r="C62" s="18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K62" s="104"/>
      <c r="L62" s="104"/>
      <c r="M62" s="104"/>
      <c r="N62" s="104"/>
      <c r="O62" s="104"/>
      <c r="P62" s="104"/>
    </row>
    <row r="63" spans="1:16">
      <c r="A63" s="4" t="s">
        <v>146</v>
      </c>
      <c r="C63" s="18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88"/>
      <c r="K63" s="104"/>
      <c r="L63" s="104"/>
      <c r="M63" s="104"/>
      <c r="N63" s="104"/>
      <c r="O63" s="104"/>
      <c r="P63" s="104"/>
    </row>
    <row r="64" spans="1:16">
      <c r="A64" s="4"/>
      <c r="C64" s="18">
        <v>0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88"/>
      <c r="K64" s="104"/>
      <c r="L64" s="104"/>
      <c r="M64" s="104"/>
      <c r="N64" s="104"/>
      <c r="O64" s="104"/>
      <c r="P64" s="104"/>
    </row>
    <row r="65" spans="1:16">
      <c r="A65" s="4"/>
      <c r="C65" s="18">
        <v>0</v>
      </c>
      <c r="D65" s="69">
        <v>0</v>
      </c>
      <c r="E65" s="69">
        <v>0</v>
      </c>
      <c r="F65" s="69">
        <v>0</v>
      </c>
      <c r="G65" s="69">
        <v>0</v>
      </c>
      <c r="H65" s="69">
        <v>0</v>
      </c>
      <c r="I65" s="88"/>
      <c r="K65" s="104"/>
      <c r="L65" s="104"/>
      <c r="M65" s="104"/>
      <c r="N65" s="104"/>
      <c r="O65" s="104"/>
      <c r="P65" s="104"/>
    </row>
    <row r="66" spans="1:16">
      <c r="A66" s="4"/>
      <c r="C66" s="18"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88"/>
      <c r="K66" s="104"/>
      <c r="L66" s="104"/>
      <c r="M66" s="104"/>
      <c r="N66" s="104"/>
      <c r="O66" s="104"/>
      <c r="P66" s="104"/>
    </row>
    <row r="67" spans="1:16" ht="19.9" customHeight="1">
      <c r="A67" s="4"/>
      <c r="C67" s="18">
        <v>0</v>
      </c>
      <c r="D67" s="69">
        <v>0</v>
      </c>
      <c r="E67" s="69">
        <v>0</v>
      </c>
      <c r="F67" s="69">
        <v>0</v>
      </c>
      <c r="G67" s="69">
        <v>0</v>
      </c>
      <c r="H67" s="69">
        <v>0</v>
      </c>
      <c r="I67" s="88"/>
      <c r="K67" s="104"/>
      <c r="L67" s="104"/>
      <c r="M67" s="104"/>
      <c r="N67" s="104"/>
      <c r="O67" s="104"/>
      <c r="P67" s="104"/>
    </row>
    <row r="68" spans="3:16" ht="19.9" customHeight="1">
      <c r="C68" s="2"/>
      <c r="D68" s="2"/>
      <c r="K68" s="113">
        <f>SUM(K56:K67)</f>
        <v>0</v>
      </c>
      <c r="L68" s="113">
        <f>SUM(L56:L67)</f>
        <v>0</v>
      </c>
      <c r="M68" s="113">
        <f>SUM(M56:M67)</f>
        <v>0</v>
      </c>
      <c r="N68" s="113">
        <f>SUM(N56:N67)</f>
        <v>0</v>
      </c>
      <c r="O68" s="113">
        <f>SUM(O56:O67)</f>
        <v>0</v>
      </c>
      <c r="P68" s="113">
        <f>SUM(P56:P67)</f>
        <v>0</v>
      </c>
    </row>
    <row r="69" spans="3:16" ht="19.9" customHeight="1">
      <c r="C69" s="2"/>
      <c r="D69" s="2"/>
      <c r="L69" s="110"/>
      <c r="M69" s="110"/>
      <c r="N69" s="110"/>
      <c r="O69" s="110"/>
      <c r="P69" s="110"/>
    </row>
    <row r="70" spans="1:4" ht="19.9" customHeight="1">
      <c r="A70" s="38" t="s">
        <v>103</v>
      </c>
      <c r="C70" s="2"/>
      <c r="D70" s="2"/>
    </row>
    <row r="71" spans="1:4" ht="19.9" customHeight="1">
      <c r="A71" t="s">
        <v>162</v>
      </c>
      <c r="C71" s="2"/>
      <c r="D71" s="2"/>
    </row>
    <row r="72" spans="1:8">
      <c r="A72" s="25" t="s">
        <v>104</v>
      </c>
      <c r="C72" s="3" t="s">
        <v>3</v>
      </c>
      <c r="D72" s="3" t="s">
        <v>3</v>
      </c>
      <c r="E72" s="3" t="s">
        <v>3</v>
      </c>
      <c r="F72" s="3" t="s">
        <v>3</v>
      </c>
      <c r="G72" s="3" t="s">
        <v>3</v>
      </c>
      <c r="H72" s="3" t="s">
        <v>3</v>
      </c>
    </row>
    <row r="73" spans="1:8">
      <c r="A73" s="25"/>
      <c r="C73" s="3"/>
      <c r="D73" s="3"/>
      <c r="E73" s="3"/>
      <c r="F73" s="3"/>
      <c r="G73" s="3"/>
      <c r="H73" s="3"/>
    </row>
    <row r="74" spans="3:16" s="26" customFormat="1"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  <c r="I74"/>
      <c r="K74" s="104">
        <f>C74</f>
        <v>0</v>
      </c>
      <c r="L74" s="104">
        <f>D74</f>
        <v>0</v>
      </c>
      <c r="M74" s="104">
        <f>E74</f>
        <v>0</v>
      </c>
      <c r="N74" s="104">
        <f>F74</f>
        <v>0</v>
      </c>
      <c r="O74" s="104">
        <f>G74</f>
        <v>0</v>
      </c>
      <c r="P74" s="104">
        <f>H74</f>
        <v>0</v>
      </c>
    </row>
    <row r="75" spans="1:16" s="26" customFormat="1">
      <c r="A75" s="26" t="s">
        <v>110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/>
      <c r="K75" s="104">
        <f>C75</f>
        <v>0</v>
      </c>
      <c r="L75" s="104">
        <f>D75</f>
        <v>0</v>
      </c>
      <c r="M75" s="104">
        <f>E75</f>
        <v>0</v>
      </c>
      <c r="N75" s="104">
        <f>F75</f>
        <v>0</v>
      </c>
      <c r="O75" s="104">
        <f>G75</f>
        <v>0</v>
      </c>
      <c r="P75" s="104">
        <f>H75</f>
        <v>0</v>
      </c>
    </row>
    <row r="76" spans="1:16" s="26" customFormat="1">
      <c r="A76" s="26" t="s">
        <v>93</v>
      </c>
      <c r="C76" s="70">
        <v>0</v>
      </c>
      <c r="D76" s="70">
        <v>0</v>
      </c>
      <c r="E76" s="70">
        <v>0</v>
      </c>
      <c r="F76" s="70">
        <v>0</v>
      </c>
      <c r="G76" s="70">
        <v>0</v>
      </c>
      <c r="H76" s="70">
        <v>0</v>
      </c>
      <c r="I76"/>
      <c r="K76" s="104">
        <f>C76</f>
        <v>0</v>
      </c>
      <c r="L76" s="104">
        <f>D76</f>
        <v>0</v>
      </c>
      <c r="M76" s="104">
        <f>E76</f>
        <v>0</v>
      </c>
      <c r="N76" s="104">
        <f>F76</f>
        <v>0</v>
      </c>
      <c r="O76" s="104">
        <f>G76</f>
        <v>0</v>
      </c>
      <c r="P76" s="104">
        <f>H76</f>
        <v>0</v>
      </c>
    </row>
    <row r="77" spans="1:16" s="26" customFormat="1">
      <c r="A77" s="76" t="s">
        <v>118</v>
      </c>
      <c r="C77" s="70">
        <v>0</v>
      </c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/>
      <c r="K77" s="104">
        <f>C77</f>
        <v>0</v>
      </c>
      <c r="L77" s="104">
        <f>D77</f>
        <v>0</v>
      </c>
      <c r="M77" s="104">
        <f>E77</f>
        <v>0</v>
      </c>
      <c r="N77" s="104">
        <f>F77</f>
        <v>0</v>
      </c>
      <c r="O77" s="104">
        <f>G77</f>
        <v>0</v>
      </c>
      <c r="P77" s="104">
        <f>H77</f>
        <v>0</v>
      </c>
    </row>
    <row r="78" spans="1:16" s="26" customFormat="1">
      <c r="A78" s="26" t="s">
        <v>60</v>
      </c>
      <c r="C78" s="70">
        <v>0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/>
      <c r="K78" s="104">
        <f>C78</f>
        <v>0</v>
      </c>
      <c r="L78" s="104">
        <f>D78</f>
        <v>0</v>
      </c>
      <c r="M78" s="104">
        <f>E78</f>
        <v>0</v>
      </c>
      <c r="N78" s="104">
        <f>F78</f>
        <v>0</v>
      </c>
      <c r="O78" s="104">
        <f>G78</f>
        <v>0</v>
      </c>
      <c r="P78" s="104">
        <f>H78</f>
        <v>0</v>
      </c>
    </row>
    <row r="79" spans="1:16">
      <c r="A79" t="s">
        <v>2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K79" s="104">
        <f>C79</f>
        <v>0</v>
      </c>
      <c r="L79" s="104">
        <f>D79</f>
        <v>0</v>
      </c>
      <c r="M79" s="104">
        <f>E79</f>
        <v>0</v>
      </c>
      <c r="N79" s="104">
        <f>F79</f>
        <v>0</v>
      </c>
      <c r="O79" s="104">
        <f>G79</f>
        <v>0</v>
      </c>
      <c r="P79" s="104">
        <f>H79</f>
        <v>0</v>
      </c>
    </row>
    <row r="80" spans="1:11">
      <c r="A80" s="25"/>
      <c r="C80" s="3"/>
      <c r="D80" s="3"/>
      <c r="E80" s="3"/>
      <c r="F80" s="3"/>
      <c r="G80" s="3"/>
      <c r="H80" s="3"/>
      <c r="K80" s="32"/>
    </row>
    <row r="81" spans="1:11">
      <c r="A81" s="25"/>
      <c r="C81" s="3"/>
      <c r="D81" s="3"/>
      <c r="E81" s="3"/>
      <c r="F81" s="3"/>
      <c r="G81" s="3"/>
      <c r="H81" s="3"/>
      <c r="K81" s="32"/>
    </row>
    <row r="82" spans="1:11">
      <c r="A82" s="25" t="s">
        <v>105</v>
      </c>
      <c r="C82" s="3"/>
      <c r="D82" s="3"/>
      <c r="E82" s="3"/>
      <c r="F82" s="3"/>
      <c r="G82" s="3"/>
      <c r="H82" s="3"/>
      <c r="K82" s="32"/>
    </row>
    <row r="83" spans="1:11" ht="5.25" customHeight="1">
      <c r="A83" s="25"/>
      <c r="C83" s="3"/>
      <c r="D83" s="3"/>
      <c r="E83" s="3"/>
      <c r="F83" s="3"/>
      <c r="G83" s="3"/>
      <c r="H83" s="3"/>
      <c r="K83" s="32"/>
    </row>
    <row r="84" spans="1:16">
      <c r="A84" t="s">
        <v>80</v>
      </c>
      <c r="C84" s="70">
        <v>0</v>
      </c>
      <c r="D84" s="70">
        <f>(D15*0.2)*500</f>
        <v>0</v>
      </c>
      <c r="E84" s="70">
        <f>(E15*0.2)*500</f>
        <v>0</v>
      </c>
      <c r="F84" s="70">
        <f>(F15*0.2)*500</f>
        <v>0</v>
      </c>
      <c r="G84" s="70">
        <f>(G15*0.2)*500</f>
        <v>0</v>
      </c>
      <c r="H84" s="70">
        <f>(H15*0.2)*500</f>
        <v>0</v>
      </c>
      <c r="I84" t="s">
        <v>145</v>
      </c>
      <c r="K84" s="104">
        <f>(3000*SUM(C13,C20)+(900*SUM(C10,C12,C17,C19)))</f>
        <v>0</v>
      </c>
      <c r="L84" s="104">
        <f>D84</f>
        <v>0</v>
      </c>
      <c r="M84" s="104">
        <f>E84</f>
        <v>0</v>
      </c>
      <c r="N84" s="104">
        <f>F84</f>
        <v>0</v>
      </c>
      <c r="O84" s="104">
        <f>G84</f>
        <v>0</v>
      </c>
      <c r="P84" s="104">
        <f>H84</f>
        <v>0</v>
      </c>
    </row>
    <row r="85" spans="1:16">
      <c r="A85" t="s">
        <v>165</v>
      </c>
      <c r="C85" s="70">
        <v>0</v>
      </c>
      <c r="D85" s="70">
        <f>(D16*0.2)*500</f>
        <v>0</v>
      </c>
      <c r="E85" s="70">
        <f>(E16*0.2)*500</f>
        <v>0</v>
      </c>
      <c r="F85" s="70">
        <f>(F16*0.2)*500</f>
        <v>0</v>
      </c>
      <c r="G85" s="70">
        <f>(G16*0.2)*500</f>
        <v>0</v>
      </c>
      <c r="H85" s="70">
        <f>(H16*0.2)*500</f>
        <v>0</v>
      </c>
      <c r="K85" s="104">
        <f>(3000*SUM(C14,C21)+(900*SUM(C11,C13,C18,C20)))</f>
        <v>0</v>
      </c>
      <c r="L85" s="104">
        <f>D85</f>
        <v>0</v>
      </c>
      <c r="M85" s="104">
        <f>E85</f>
        <v>0</v>
      </c>
      <c r="N85" s="104">
        <f>F85</f>
        <v>0</v>
      </c>
      <c r="O85" s="104">
        <f>G85</f>
        <v>0</v>
      </c>
      <c r="P85" s="104">
        <f>H85</f>
        <v>0</v>
      </c>
    </row>
    <row r="86" spans="1:16">
      <c r="A86" s="178" t="s">
        <v>166</v>
      </c>
      <c r="C86" s="70">
        <v>0</v>
      </c>
      <c r="D86" s="70">
        <f>(D17*0.2)*500</f>
        <v>0</v>
      </c>
      <c r="E86" s="70">
        <f>(E17*0.2)*500</f>
        <v>0</v>
      </c>
      <c r="F86" s="70">
        <f>(F17*0.2)*500</f>
        <v>0</v>
      </c>
      <c r="G86" s="70">
        <f>(G17*0.2)*500</f>
        <v>0</v>
      </c>
      <c r="H86" s="70">
        <f>(H17*0.2)*500</f>
        <v>0</v>
      </c>
      <c r="K86" s="104">
        <f>(3000*SUM(C15,C22)+(900*SUM(C12,C14,C19,C21)))</f>
        <v>0</v>
      </c>
      <c r="L86" s="104">
        <f>D86</f>
        <v>0</v>
      </c>
      <c r="M86" s="104">
        <f>E86</f>
        <v>0</v>
      </c>
      <c r="N86" s="104">
        <f>F86</f>
        <v>0</v>
      </c>
      <c r="O86" s="104">
        <f>G86</f>
        <v>0</v>
      </c>
      <c r="P86" s="104">
        <f>H86</f>
        <v>0</v>
      </c>
    </row>
    <row r="87" spans="1:16">
      <c r="A87" s="178" t="s">
        <v>311</v>
      </c>
      <c r="C87" s="70">
        <v>1</v>
      </c>
      <c r="D87" s="70">
        <f>(D18*0.2)*500</f>
        <v>0</v>
      </c>
      <c r="E87" s="70">
        <f>(E18*0.2)*500</f>
        <v>0</v>
      </c>
      <c r="F87" s="70">
        <f>(F18*0.2)*500</f>
        <v>0</v>
      </c>
      <c r="G87" s="70">
        <f>(G18*0.2)*500</f>
        <v>0</v>
      </c>
      <c r="H87" s="70">
        <f>(H18*0.2)*500</f>
        <v>0</v>
      </c>
      <c r="K87" s="104">
        <f>(3000*SUM(C16,C23)+(900*SUM(C13,C15,C20,C22)))</f>
        <v>0</v>
      </c>
      <c r="L87" s="104">
        <f>D87</f>
        <v>0</v>
      </c>
      <c r="M87" s="104">
        <f>E87</f>
        <v>0</v>
      </c>
      <c r="N87" s="104">
        <f>F87</f>
        <v>0</v>
      </c>
      <c r="O87" s="104">
        <f>G87</f>
        <v>0</v>
      </c>
      <c r="P87" s="104">
        <f>H87</f>
        <v>0</v>
      </c>
    </row>
    <row r="88" spans="1:16">
      <c r="A88" t="s">
        <v>69</v>
      </c>
      <c r="C88" s="67">
        <v>0</v>
      </c>
      <c r="D88" s="67">
        <v>0</v>
      </c>
      <c r="E88" s="67">
        <v>0</v>
      </c>
      <c r="F88" s="67">
        <v>0</v>
      </c>
      <c r="G88" s="67">
        <v>0</v>
      </c>
      <c r="H88" s="67">
        <v>0</v>
      </c>
      <c r="K88" s="104">
        <f>C88</f>
        <v>0</v>
      </c>
      <c r="L88" s="104">
        <f>D88</f>
        <v>0</v>
      </c>
      <c r="M88" s="104">
        <f>E88</f>
        <v>0</v>
      </c>
      <c r="N88" s="104">
        <f>F88</f>
        <v>0</v>
      </c>
      <c r="O88" s="104">
        <f>G88</f>
        <v>0</v>
      </c>
      <c r="P88" s="104">
        <f>H88</f>
        <v>0</v>
      </c>
    </row>
    <row r="89" spans="1:16" s="26" customFormat="1">
      <c r="A89" s="26" t="s">
        <v>97</v>
      </c>
      <c r="C89" s="70">
        <f>(K49*0.1)/2</f>
        <v>0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/>
      <c r="K89" s="104">
        <f>C89</f>
        <v>0</v>
      </c>
      <c r="L89" s="104">
        <f>D89</f>
        <v>0</v>
      </c>
      <c r="M89" s="104">
        <f>E89</f>
        <v>0</v>
      </c>
      <c r="N89" s="104">
        <f>F89</f>
        <v>0</v>
      </c>
      <c r="O89" s="104">
        <f>G89</f>
        <v>0</v>
      </c>
      <c r="P89" s="104">
        <f>H89</f>
        <v>0</v>
      </c>
    </row>
    <row r="90" spans="1:16" s="26" customFormat="1">
      <c r="A90" s="26" t="s">
        <v>163</v>
      </c>
      <c r="C90" s="70">
        <f>(K50*0.1)/2</f>
        <v>0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  <c r="I90"/>
      <c r="K90" s="104">
        <f>C90</f>
        <v>0</v>
      </c>
      <c r="L90" s="104">
        <f>D90</f>
        <v>0</v>
      </c>
      <c r="M90" s="104">
        <f>E90</f>
        <v>0</v>
      </c>
      <c r="N90" s="104">
        <f>F90</f>
        <v>0</v>
      </c>
      <c r="O90" s="104">
        <f>G90</f>
        <v>0</v>
      </c>
      <c r="P90" s="104">
        <f>H90</f>
        <v>0</v>
      </c>
    </row>
    <row r="91" spans="3:16" s="26" customFormat="1">
      <c r="C91" s="70">
        <f>(K51*0.1)/2</f>
        <v>0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  <c r="I91"/>
      <c r="K91" s="104">
        <f>C91</f>
        <v>0</v>
      </c>
      <c r="L91" s="104">
        <f>D91</f>
        <v>0</v>
      </c>
      <c r="M91" s="104">
        <f>E91</f>
        <v>0</v>
      </c>
      <c r="N91" s="104">
        <f>F91</f>
        <v>0</v>
      </c>
      <c r="O91" s="104">
        <f>G91</f>
        <v>0</v>
      </c>
      <c r="P91" s="104">
        <f>H91</f>
        <v>0</v>
      </c>
    </row>
    <row r="92" spans="1:16">
      <c r="A92" t="s">
        <v>34</v>
      </c>
      <c r="C92" s="67">
        <v>0</v>
      </c>
      <c r="D92" s="67">
        <v>0</v>
      </c>
      <c r="E92" s="67">
        <v>0</v>
      </c>
      <c r="F92" s="67">
        <v>0</v>
      </c>
      <c r="G92" s="67">
        <v>0</v>
      </c>
      <c r="H92" s="67">
        <v>0</v>
      </c>
      <c r="K92" s="104">
        <f>C92</f>
        <v>0</v>
      </c>
      <c r="L92" s="104">
        <f>D92</f>
        <v>0</v>
      </c>
      <c r="M92" s="104">
        <f>E92</f>
        <v>0</v>
      </c>
      <c r="N92" s="104">
        <f>F92</f>
        <v>0</v>
      </c>
      <c r="O92" s="104">
        <f>G92</f>
        <v>0</v>
      </c>
      <c r="P92" s="104">
        <f>H92</f>
        <v>0</v>
      </c>
    </row>
    <row r="93" spans="11:11" ht="19.9" customHeight="1">
      <c r="K93" s="32"/>
    </row>
    <row r="94" spans="11:16" ht="19.9" customHeight="1">
      <c r="K94" s="113">
        <f>SUM(K74:K93)</f>
        <v>0</v>
      </c>
      <c r="L94" s="113">
        <f>SUM(L74:L93)</f>
        <v>0</v>
      </c>
      <c r="M94" s="113">
        <f>SUM(M74:M93)</f>
        <v>0</v>
      </c>
      <c r="N94" s="113">
        <f>SUM(N74:N93)</f>
        <v>0</v>
      </c>
      <c r="O94" s="113">
        <f>SUM(O74:O93)</f>
        <v>0</v>
      </c>
      <c r="P94" s="113">
        <f>SUM(P74:P93)</f>
        <v>0</v>
      </c>
    </row>
    <row r="95" spans="11:11" ht="19.9" customHeight="1">
      <c r="K95" s="32"/>
    </row>
    <row r="96" spans="10:16" ht="19.9" customHeight="1" thickBot="1">
      <c r="J96" s="111" t="s">
        <v>107</v>
      </c>
      <c r="K96" s="105">
        <f>K94+K68</f>
        <v>0</v>
      </c>
      <c r="L96" s="105">
        <f>L94+L68</f>
        <v>0</v>
      </c>
      <c r="M96" s="105">
        <f>M94+M68</f>
        <v>0</v>
      </c>
      <c r="N96" s="105">
        <f>N94+N68</f>
        <v>0</v>
      </c>
      <c r="O96" s="105">
        <f>O94+O68</f>
        <v>0</v>
      </c>
      <c r="P96" s="105">
        <f>P94+P68</f>
        <v>0</v>
      </c>
    </row>
    <row r="97" spans="10:16" ht="15.75" thickTop="1">
      <c r="J97" s="111"/>
      <c r="K97" s="117"/>
      <c r="L97" s="117"/>
      <c r="M97" s="117"/>
      <c r="N97" s="117"/>
      <c r="O97" s="117"/>
      <c r="P97" s="117"/>
    </row>
    <row r="98" spans="10:16" ht="15.75" thickBot="1">
      <c r="J98" s="111" t="s">
        <v>108</v>
      </c>
      <c r="K98" s="128">
        <f>K49-K96</f>
        <v>0</v>
      </c>
      <c r="L98" s="128">
        <f>L49-L96</f>
        <v>0</v>
      </c>
      <c r="M98" s="128">
        <f>M49-M96</f>
        <v>0</v>
      </c>
      <c r="N98" s="128">
        <f>N49-N96</f>
        <v>0</v>
      </c>
      <c r="O98" s="128">
        <f>O49-O96</f>
        <v>0</v>
      </c>
      <c r="P98" s="128">
        <f>P49-P96</f>
        <v>0</v>
      </c>
    </row>
    <row r="99" spans="11:16" ht="15.75" thickTop="1">
      <c r="K99" s="32">
        <f>K98-'Mid Summary'!D41</f>
        <v>0</v>
      </c>
      <c r="L99" s="32">
        <f>L98-'Mid Summary'!E41</f>
        <v>0</v>
      </c>
      <c r="M99" s="32">
        <f>M98-'Mid Summary'!F41</f>
        <v>0</v>
      </c>
      <c r="N99" s="32">
        <f>N98-'Mid Summary'!G41</f>
        <v>0</v>
      </c>
      <c r="O99" s="32">
        <f>O98-'Mid Summary'!H41</f>
        <v>0</v>
      </c>
      <c r="P99" s="32">
        <f>P98-'Mid Summary'!I41</f>
        <v>0</v>
      </c>
    </row>
  </sheetData>
  <mergeCells count="3">
    <mergeCell ref="K8:P8"/>
    <mergeCell ref="K31:P31"/>
    <mergeCell ref="K53:P53"/>
  </mergeCells>
  <conditionalFormatting sqref="K76:P79 K84:P84 K88:P92">
    <cfRule type="cellIs" dxfId="25" priority="11" operator="equal">
      <formula>0</formula>
    </cfRule>
  </conditionalFormatting>
  <conditionalFormatting sqref="K74:P75">
    <cfRule type="cellIs" dxfId="24" priority="10" operator="equal">
      <formula>0</formula>
    </cfRule>
  </conditionalFormatting>
  <conditionalFormatting sqref="K60:P61 K62">
    <cfRule type="cellIs" dxfId="23" priority="9" operator="equal">
      <formula>0</formula>
    </cfRule>
  </conditionalFormatting>
  <conditionalFormatting sqref="K63:P67 K59">
    <cfRule type="cellIs" dxfId="22" priority="8" operator="equal">
      <formula>0</formula>
    </cfRule>
  </conditionalFormatting>
  <conditionalFormatting sqref="K56:P56">
    <cfRule type="cellIs" dxfId="21" priority="7" operator="equal">
      <formula>0</formula>
    </cfRule>
  </conditionalFormatting>
  <conditionalFormatting sqref="K58">
    <cfRule type="cellIs" dxfId="20" priority="6" operator="equal">
      <formula>0</formula>
    </cfRule>
  </conditionalFormatting>
  <conditionalFormatting sqref="L58:P58">
    <cfRule type="cellIs" dxfId="19" priority="5" operator="equal">
      <formula>0</formula>
    </cfRule>
  </conditionalFormatting>
  <conditionalFormatting sqref="K57:P57">
    <cfRule type="cellIs" dxfId="18" priority="4" operator="equal">
      <formula>0</formula>
    </cfRule>
  </conditionalFormatting>
  <conditionalFormatting sqref="L62:P62">
    <cfRule type="cellIs" dxfId="17" priority="3" operator="equal">
      <formula>0</formula>
    </cfRule>
  </conditionalFormatting>
  <conditionalFormatting sqref="L59:P59">
    <cfRule type="cellIs" dxfId="16" priority="2" operator="equal">
      <formula>0</formula>
    </cfRule>
  </conditionalFormatting>
  <conditionalFormatting sqref="K85:P87">
    <cfRule type="cellIs" dxfId="1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1" fitToHeight="2" orientation="portrait"/>
  <headerFooter scaleWithDoc="1" alignWithMargins="1" differentFirst="0" differentOddEven="0">
    <oddHeader>&amp;R&amp;A</oddHeader>
    <oddFooter>&amp;L&amp;Z&amp;F&amp;R&amp;D</oddFooter>
  </headerFooter>
  <rowBreaks count="1" manualBreakCount="1">
    <brk id="100" max="13" man="1"/>
  </rowBreaks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FF0000"/>
    <pageSetUpPr fitToPage="1"/>
  </sheetPr>
  <dimension ref="A1:P69"/>
  <sheetViews>
    <sheetView topLeftCell="A1" zoomScale="85" view="normal" workbookViewId="0">
      <pane xSplit="2" ySplit="6" topLeftCell="C7" activePane="bottomRight" state="frozen"/>
      <selection pane="bottomRight" activeCell="H23" sqref="H23"/>
    </sheetView>
  </sheetViews>
  <sheetFormatPr defaultRowHeight="15"/>
  <cols>
    <col min="1" max="1" width="3.75390625" customWidth="1"/>
    <col min="2" max="2" width="37.375" customWidth="1"/>
    <col min="3" max="3" width="7.625" customWidth="1"/>
    <col min="4" max="5" width="9.625" customWidth="1"/>
    <col min="10" max="10" width="9.00390625" customWidth="1"/>
  </cols>
  <sheetData>
    <row r="1" spans="1:1">
      <c r="A1" t="s">
        <v>49</v>
      </c>
    </row>
    <row r="2" spans="1:1" ht="18.75">
      <c r="A2" s="38" t="str">
        <f>Summary!A2</f>
        <v>Name of Course</v>
      </c>
    </row>
    <row r="3" spans="1:1">
      <c r="A3" s="1" t="s">
        <v>52</v>
      </c>
    </row>
    <row r="4" spans="1:1" ht="10.5" customHeight="1">
      <c r="A4" s="38"/>
    </row>
    <row r="5" spans="1:9" ht="18.75">
      <c r="A5" s="38"/>
      <c r="B5" s="1"/>
      <c r="E5" s="302"/>
      <c r="F5" s="302"/>
      <c r="G5" s="302"/>
      <c r="H5" s="302"/>
      <c r="I5" s="302"/>
    </row>
    <row r="6" spans="2:9" ht="30">
      <c r="B6" s="93"/>
      <c r="C6" s="101" t="s">
        <v>151</v>
      </c>
      <c r="D6" s="94" t="str">
        <f>Summary!B5</f>
        <v>2020/21</v>
      </c>
      <c r="E6" s="94" t="str">
        <f>Summary!C5</f>
        <v>2021/22</v>
      </c>
      <c r="F6" s="94" t="str">
        <f>Summary!D5</f>
        <v>2022/23</v>
      </c>
      <c r="G6" s="94" t="str">
        <f>Summary!E5</f>
        <v>2023/24</v>
      </c>
      <c r="H6" s="94" t="str">
        <f>Summary!F5</f>
        <v>2024/25</v>
      </c>
      <c r="I6" s="94" t="str">
        <f>Summary!G5</f>
        <v>2025/26</v>
      </c>
    </row>
    <row r="7" spans="2:9">
      <c r="B7" s="51"/>
      <c r="C7" s="78"/>
      <c r="D7" s="42"/>
      <c r="E7" s="42"/>
      <c r="F7" s="42"/>
      <c r="G7" s="79"/>
      <c r="H7" s="79"/>
      <c r="I7" s="79"/>
    </row>
    <row r="8" spans="2:9">
      <c r="B8" s="91" t="s">
        <v>137</v>
      </c>
      <c r="C8" s="43"/>
      <c r="D8" s="169"/>
      <c r="E8" s="169"/>
      <c r="F8" s="41"/>
      <c r="G8" s="41"/>
      <c r="H8" s="43"/>
      <c r="I8" s="43"/>
    </row>
    <row r="9" spans="2:11">
      <c r="B9" s="51" t="s">
        <v>66</v>
      </c>
      <c r="C9" s="59"/>
      <c r="D9" s="169">
        <f>'Worse Case'!C10</f>
        <v>0</v>
      </c>
      <c r="E9" s="169">
        <f>'Worse Case'!D10</f>
        <v>0</v>
      </c>
      <c r="F9" s="41">
        <f>'Worse Case'!E10</f>
        <v>0</v>
      </c>
      <c r="G9" s="41">
        <f>'Worse Case'!F10</f>
        <v>0</v>
      </c>
      <c r="H9" s="41">
        <f>'Worse Case'!G10</f>
        <v>0</v>
      </c>
      <c r="I9" s="41">
        <f>'Worse Case'!H10</f>
        <v>0</v>
      </c>
      <c r="K9" s="134"/>
    </row>
    <row r="10" spans="2:9">
      <c r="B10" s="51" t="s">
        <v>67</v>
      </c>
      <c r="C10" s="59"/>
      <c r="D10" s="169">
        <f>'Worse Case'!C11</f>
        <v>0</v>
      </c>
      <c r="E10" s="169">
        <f>'Worse Case'!D11</f>
        <v>0</v>
      </c>
      <c r="F10" s="41">
        <f>'Worse Case'!E11</f>
        <v>0</v>
      </c>
      <c r="G10" s="41">
        <f>'Worse Case'!F11</f>
        <v>0</v>
      </c>
      <c r="H10" s="41">
        <f>'Worse Case'!G11</f>
        <v>0</v>
      </c>
      <c r="I10" s="41">
        <f>'Worse Case'!H11</f>
        <v>0</v>
      </c>
    </row>
    <row r="11" spans="2:9">
      <c r="B11" s="51" t="s">
        <v>119</v>
      </c>
      <c r="C11" s="59"/>
      <c r="D11" s="170">
        <f>'Worse Case'!C13</f>
        <v>0</v>
      </c>
      <c r="E11" s="170">
        <f>'Worse Case'!D13</f>
        <v>0</v>
      </c>
      <c r="F11" s="43">
        <f>'Worse Case'!E13</f>
        <v>0</v>
      </c>
      <c r="G11" s="43">
        <f>'Worse Case'!F13</f>
        <v>0</v>
      </c>
      <c r="H11" s="43">
        <f>'Worse Case'!G13</f>
        <v>0</v>
      </c>
      <c r="I11" s="43">
        <f>'Worse Case'!H13</f>
        <v>0</v>
      </c>
    </row>
    <row r="12" spans="2:9">
      <c r="B12" s="51" t="s">
        <v>68</v>
      </c>
      <c r="C12" s="59"/>
      <c r="D12" s="169">
        <f>'Worse Case'!C14</f>
        <v>0</v>
      </c>
      <c r="E12" s="169">
        <f>'Worse Case'!D14</f>
        <v>0</v>
      </c>
      <c r="F12" s="41">
        <f>'Worse Case'!E14</f>
        <v>0</v>
      </c>
      <c r="G12" s="41">
        <f>'Worse Case'!F14</f>
        <v>0</v>
      </c>
      <c r="H12" s="41">
        <f>'Worse Case'!G14</f>
        <v>0</v>
      </c>
      <c r="I12" s="41">
        <f>'Worse Case'!H14</f>
        <v>0</v>
      </c>
    </row>
    <row r="13" spans="2:9">
      <c r="B13" s="51" t="s">
        <v>70</v>
      </c>
      <c r="C13" s="176"/>
      <c r="D13" s="169">
        <f>'Worse Case'!C15</f>
        <v>0</v>
      </c>
      <c r="E13" s="169">
        <f>'Worse Case'!D15</f>
        <v>0</v>
      </c>
      <c r="F13" s="41">
        <f>'Worse Case'!E15</f>
        <v>0</v>
      </c>
      <c r="G13" s="41">
        <f>'Worse Case'!F15</f>
        <v>0</v>
      </c>
      <c r="H13" s="41">
        <f>'Worse Case'!G15</f>
        <v>0</v>
      </c>
      <c r="I13" s="41">
        <f>'Worse Case'!H15</f>
        <v>0</v>
      </c>
    </row>
    <row r="14" spans="2:9">
      <c r="B14" s="51" t="s">
        <v>122</v>
      </c>
      <c r="C14" s="176"/>
      <c r="D14" s="169">
        <f>'Worse Case'!C16</f>
        <v>0</v>
      </c>
      <c r="E14" s="169">
        <f>'Worse Case'!D16</f>
        <v>0</v>
      </c>
      <c r="F14" s="41">
        <f>'Worse Case'!E16</f>
        <v>0</v>
      </c>
      <c r="G14" s="41">
        <f>'Worse Case'!F16</f>
        <v>0</v>
      </c>
      <c r="H14" s="41">
        <f>'Worse Case'!G16</f>
        <v>0</v>
      </c>
      <c r="I14" s="41">
        <f>'Worse Case'!H16</f>
        <v>0</v>
      </c>
    </row>
    <row r="15" spans="2:11">
      <c r="B15" s="51" t="s">
        <v>76</v>
      </c>
      <c r="C15" s="59"/>
      <c r="D15" s="169">
        <f>'Worse Case'!C17</f>
        <v>0</v>
      </c>
      <c r="E15" s="169">
        <f>'Worse Case'!D17</f>
        <v>0</v>
      </c>
      <c r="F15" s="41">
        <f>'Worse Case'!E17</f>
        <v>0</v>
      </c>
      <c r="G15" s="41">
        <f>'Worse Case'!F17</f>
        <v>0</v>
      </c>
      <c r="H15" s="41">
        <f>'Worse Case'!G17</f>
        <v>0</v>
      </c>
      <c r="I15" s="41">
        <f>'Worse Case'!H17</f>
        <v>0</v>
      </c>
      <c r="K15" s="134"/>
    </row>
    <row r="16" spans="2:9">
      <c r="B16" s="51" t="s">
        <v>127</v>
      </c>
      <c r="C16" s="59"/>
      <c r="D16" s="169">
        <f>'Worse Case'!C20</f>
        <v>0</v>
      </c>
      <c r="E16" s="169">
        <f>'Worse Case'!D20</f>
        <v>0</v>
      </c>
      <c r="F16" s="41">
        <f>'Worse Case'!E20</f>
        <v>0</v>
      </c>
      <c r="G16" s="41">
        <f>'Worse Case'!F20</f>
        <v>0</v>
      </c>
      <c r="H16" s="41">
        <f>'Worse Case'!G20</f>
        <v>0</v>
      </c>
      <c r="I16" s="41">
        <f>'Worse Case'!H20</f>
        <v>0</v>
      </c>
    </row>
    <row r="17" spans="2:9">
      <c r="B17" s="51" t="s">
        <v>77</v>
      </c>
      <c r="C17" s="59"/>
      <c r="D17" s="169">
        <f>'Worse Case'!C21</f>
        <v>0</v>
      </c>
      <c r="E17" s="169">
        <f>'Worse Case'!D21</f>
        <v>0</v>
      </c>
      <c r="F17" s="41">
        <f>'Worse Case'!E21</f>
        <v>0</v>
      </c>
      <c r="G17" s="41">
        <f>'Worse Case'!F21</f>
        <v>0</v>
      </c>
      <c r="H17" s="41">
        <f>'Worse Case'!G21</f>
        <v>0</v>
      </c>
      <c r="I17" s="41">
        <f>'Worse Case'!H21</f>
        <v>0</v>
      </c>
    </row>
    <row r="18" spans="2:9">
      <c r="B18" s="51" t="s">
        <v>78</v>
      </c>
      <c r="C18" s="59"/>
      <c r="D18" s="169">
        <f>'Worse Case'!C22</f>
        <v>0</v>
      </c>
      <c r="E18" s="169">
        <f>'Worse Case'!D22</f>
        <v>0</v>
      </c>
      <c r="F18" s="41">
        <f>'Worse Case'!E22</f>
        <v>0</v>
      </c>
      <c r="G18" s="41">
        <f>'Worse Case'!F22</f>
        <v>0</v>
      </c>
      <c r="H18" s="41">
        <f>'Worse Case'!G22</f>
        <v>0</v>
      </c>
      <c r="I18" s="41">
        <f>'Worse Case'!H22</f>
        <v>0</v>
      </c>
    </row>
    <row r="19" spans="2:9">
      <c r="B19" s="51"/>
      <c r="C19" s="59"/>
      <c r="D19" s="169"/>
      <c r="E19" s="169"/>
      <c r="F19" s="41"/>
      <c r="G19" s="41"/>
      <c r="H19" s="41"/>
      <c r="I19" s="41"/>
    </row>
    <row r="20" spans="2:9">
      <c r="B20" s="51"/>
      <c r="C20" s="59"/>
      <c r="D20" s="171">
        <f>SUM(D9:D19)</f>
        <v>0</v>
      </c>
      <c r="E20" s="171">
        <f>SUM(E9:E19)</f>
        <v>0</v>
      </c>
      <c r="F20" s="58">
        <f>SUM(F9:F19)</f>
        <v>0</v>
      </c>
      <c r="G20" s="58">
        <f>SUM(G9:G19)</f>
        <v>0</v>
      </c>
      <c r="H20" s="58">
        <f>SUM(H9:H19)</f>
        <v>0</v>
      </c>
      <c r="I20" s="58">
        <f>SUM(I9:I19)</f>
        <v>0</v>
      </c>
    </row>
    <row r="21" spans="2:9">
      <c r="B21" s="51"/>
      <c r="C21" s="59"/>
      <c r="D21" s="169"/>
      <c r="E21" s="169"/>
      <c r="F21" s="41"/>
      <c r="G21" s="41"/>
      <c r="H21" s="41"/>
      <c r="I21" s="41"/>
    </row>
    <row r="22" spans="2:9">
      <c r="B22" s="91" t="s">
        <v>46</v>
      </c>
      <c r="C22" s="60"/>
      <c r="D22" s="169"/>
      <c r="E22" s="169"/>
      <c r="F22" s="41"/>
      <c r="G22" s="41"/>
      <c r="H22" s="43"/>
      <c r="I22" s="43"/>
    </row>
    <row r="23" spans="2:16">
      <c r="B23" s="53" t="s">
        <v>59</v>
      </c>
      <c r="C23" s="61"/>
      <c r="D23" s="87">
        <f>SUM('Worse Case'!C26,'Worse Case'!C28)</f>
        <v>0</v>
      </c>
      <c r="E23" s="87">
        <f>SUM('Worse Case'!D26,'Worse Case'!D28)</f>
        <v>0</v>
      </c>
      <c r="F23" s="87">
        <f>SUM('Worse Case'!E26,'Worse Case'!E28)</f>
        <v>0</v>
      </c>
      <c r="G23" s="87">
        <f>SUM('Worse Case'!F26,'Worse Case'!F28)</f>
        <v>0</v>
      </c>
      <c r="H23" s="87">
        <f>SUM('Worse Case'!G26,'Worse Case'!G28)</f>
        <v>0</v>
      </c>
      <c r="I23" s="87">
        <f>SUM('Worse Case'!H26,'Worse Case'!H28)</f>
        <v>0</v>
      </c>
      <c r="L23" s="132"/>
      <c r="M23" s="132"/>
      <c r="N23" s="132"/>
      <c r="O23" s="132"/>
      <c r="P23" s="132"/>
    </row>
    <row r="24" spans="2:15">
      <c r="B24" s="51" t="s">
        <v>28</v>
      </c>
      <c r="C24" s="43"/>
      <c r="D24" s="87">
        <f>'Worse Case'!C27</f>
        <v>0</v>
      </c>
      <c r="E24" s="87">
        <f>'Worse Case'!D27</f>
        <v>0</v>
      </c>
      <c r="F24" s="87">
        <f>'Worse Case'!E27</f>
        <v>0</v>
      </c>
      <c r="G24" s="87">
        <f>'Worse Case'!F27</f>
        <v>0</v>
      </c>
      <c r="H24" s="87">
        <f>'Worse Case'!G27</f>
        <v>0</v>
      </c>
      <c r="I24" s="87">
        <f>'Worse Case'!H27</f>
        <v>0</v>
      </c>
      <c r="K24" s="132"/>
      <c r="L24" s="132"/>
      <c r="M24" s="132"/>
      <c r="N24" s="132"/>
      <c r="O24" s="132"/>
    </row>
    <row r="25" spans="2:9">
      <c r="B25" s="51"/>
      <c r="C25" s="43"/>
      <c r="D25" s="135">
        <f>SUM(D23:D24)</f>
        <v>0</v>
      </c>
      <c r="E25" s="135">
        <f>SUM(E23:E24)</f>
        <v>0</v>
      </c>
      <c r="F25" s="135">
        <f>SUM(F23:F24)</f>
        <v>0</v>
      </c>
      <c r="G25" s="135">
        <f>SUM(G23:G24)</f>
        <v>0</v>
      </c>
      <c r="H25" s="135">
        <f>SUM(H23:H24)</f>
        <v>0</v>
      </c>
      <c r="I25" s="135">
        <f>SUM(I23:I24)</f>
        <v>0</v>
      </c>
    </row>
    <row r="26" spans="2:9">
      <c r="B26" s="56"/>
      <c r="C26" s="48"/>
      <c r="D26" s="41"/>
      <c r="E26" s="41"/>
      <c r="F26" s="41"/>
      <c r="G26" s="41"/>
      <c r="H26" s="43"/>
      <c r="I26" s="43"/>
    </row>
    <row r="27" spans="2:9">
      <c r="B27" s="51"/>
      <c r="C27" s="50"/>
      <c r="D27" s="303" t="s">
        <v>98</v>
      </c>
      <c r="E27" s="304"/>
      <c r="F27" s="304"/>
      <c r="G27" s="304"/>
      <c r="H27" s="304"/>
      <c r="I27" s="305"/>
    </row>
    <row r="28" spans="2:9">
      <c r="B28" s="51"/>
      <c r="C28" s="50"/>
      <c r="D28" s="79" t="s">
        <v>144</v>
      </c>
      <c r="E28" s="79" t="s">
        <v>64</v>
      </c>
      <c r="F28" s="42" t="s">
        <v>79</v>
      </c>
      <c r="G28" s="42" t="s">
        <v>65</v>
      </c>
      <c r="H28" s="42" t="s">
        <v>96</v>
      </c>
      <c r="I28" s="42" t="s">
        <v>140</v>
      </c>
    </row>
    <row r="29" spans="2:9">
      <c r="B29" s="91" t="s">
        <v>32</v>
      </c>
      <c r="C29" s="52"/>
      <c r="D29" s="43"/>
      <c r="E29" s="43"/>
      <c r="F29" s="43"/>
      <c r="G29" s="43"/>
      <c r="H29" s="43"/>
      <c r="I29" s="43"/>
    </row>
    <row r="30" spans="2:9">
      <c r="B30" s="51" t="s">
        <v>150</v>
      </c>
      <c r="C30" s="50"/>
      <c r="D30" s="172">
        <f>'Worse Case'!K47</f>
        <v>0</v>
      </c>
      <c r="E30" s="44">
        <f>'Worse Case'!L47</f>
        <v>0</v>
      </c>
      <c r="F30" s="44">
        <f>'Worse Case'!M47</f>
        <v>0</v>
      </c>
      <c r="G30" s="44">
        <f>'Worse Case'!N47</f>
        <v>0</v>
      </c>
      <c r="H30" s="44">
        <f>'Worse Case'!O47</f>
        <v>0</v>
      </c>
      <c r="I30" s="44">
        <f>'Worse Case'!P47</f>
        <v>0</v>
      </c>
    </row>
    <row r="31" spans="2:9">
      <c r="B31" s="51" t="s">
        <v>48</v>
      </c>
      <c r="C31" s="50"/>
      <c r="D31" s="172">
        <f>SUM('Worse Case'!K10:K16)</f>
        <v>0</v>
      </c>
      <c r="E31" s="44">
        <f>SUM('Worse Case'!L10:L16)</f>
        <v>0</v>
      </c>
      <c r="F31" s="44">
        <f>SUM('Worse Case'!M10:M16)</f>
        <v>0</v>
      </c>
      <c r="G31" s="44">
        <f>SUM('Worse Case'!N10:N16)</f>
        <v>0</v>
      </c>
      <c r="H31" s="44">
        <f>SUM('Worse Case'!O10:O16)</f>
        <v>0</v>
      </c>
      <c r="I31" s="44">
        <f>SUM('Worse Case'!P10:P16)</f>
        <v>0</v>
      </c>
    </row>
    <row r="32" spans="2:9">
      <c r="B32" s="51" t="s">
        <v>36</v>
      </c>
      <c r="C32" s="50"/>
      <c r="D32" s="172">
        <f>SUM('Worse Case'!K17:K23)</f>
        <v>0</v>
      </c>
      <c r="E32" s="44">
        <f>SUM('Worse Case'!L17:L23)</f>
        <v>0</v>
      </c>
      <c r="F32" s="44">
        <f>SUM('Worse Case'!M17:M23)</f>
        <v>0</v>
      </c>
      <c r="G32" s="44">
        <f>SUM('Worse Case'!N17:N23)</f>
        <v>0</v>
      </c>
      <c r="H32" s="44">
        <f>SUM('Worse Case'!O17:O23)</f>
        <v>0</v>
      </c>
      <c r="I32" s="44">
        <f>SUM('Worse Case'!P17:P23)</f>
        <v>0</v>
      </c>
    </row>
    <row r="33" spans="2:9" s="1" customFormat="1">
      <c r="B33" s="124" t="s">
        <v>35</v>
      </c>
      <c r="C33" s="125"/>
      <c r="D33" s="173">
        <f>SUM(D30:D32)</f>
        <v>0</v>
      </c>
      <c r="E33" s="126">
        <f>SUM(E30:E32)</f>
        <v>0</v>
      </c>
      <c r="F33" s="126">
        <f>SUM(F30:F32)</f>
        <v>0</v>
      </c>
      <c r="G33" s="126">
        <f>SUM(G30:G32)</f>
        <v>0</v>
      </c>
      <c r="H33" s="126">
        <f>SUM(H30:H32)</f>
        <v>0</v>
      </c>
      <c r="I33" s="126">
        <f>SUM(I30:I32)</f>
        <v>0</v>
      </c>
    </row>
    <row r="34" spans="2:9">
      <c r="B34" s="51"/>
      <c r="C34" s="50"/>
      <c r="D34" s="44"/>
      <c r="E34" s="44"/>
      <c r="F34" s="44"/>
      <c r="G34" s="44"/>
      <c r="H34" s="44"/>
      <c r="I34" s="44"/>
    </row>
    <row r="35" spans="2:9">
      <c r="B35" s="91" t="s">
        <v>37</v>
      </c>
      <c r="C35" s="52"/>
      <c r="D35" s="44"/>
      <c r="E35" s="44"/>
      <c r="F35" s="44"/>
      <c r="G35" s="44"/>
      <c r="H35" s="44"/>
      <c r="I35" s="44"/>
    </row>
    <row r="36" spans="2:9">
      <c r="B36" s="51" t="s">
        <v>38</v>
      </c>
      <c r="C36" s="50"/>
      <c r="D36" s="44">
        <f>'Worse Case'!K68</f>
        <v>0</v>
      </c>
      <c r="E36" s="44">
        <f>'Worse Case'!L68</f>
        <v>0</v>
      </c>
      <c r="F36" s="44">
        <f>'Worse Case'!M68</f>
        <v>0</v>
      </c>
      <c r="G36" s="44">
        <f>'Worse Case'!N68</f>
        <v>0</v>
      </c>
      <c r="H36" s="44">
        <f>'Worse Case'!O68</f>
        <v>0</v>
      </c>
      <c r="I36" s="44">
        <f>'Worse Case'!P68</f>
        <v>0</v>
      </c>
    </row>
    <row r="37" spans="2:9">
      <c r="B37" s="51" t="s">
        <v>39</v>
      </c>
      <c r="C37" s="50"/>
      <c r="D37" s="44">
        <f>SUM('Worse Case'!K74:K79)</f>
        <v>0</v>
      </c>
      <c r="E37" s="44">
        <f>SUM('Worse Case'!L74:L79)</f>
        <v>0</v>
      </c>
      <c r="F37" s="44">
        <f>SUM('Worse Case'!M74:M79)</f>
        <v>0</v>
      </c>
      <c r="G37" s="44">
        <f>SUM('Worse Case'!N74:N79)</f>
        <v>0</v>
      </c>
      <c r="H37" s="44">
        <f>SUM('Worse Case'!O74:O79)</f>
        <v>0</v>
      </c>
      <c r="I37" s="44">
        <f>SUM('Worse Case'!P74:P79)</f>
        <v>0</v>
      </c>
    </row>
    <row r="38" spans="2:9">
      <c r="B38" s="51" t="s">
        <v>40</v>
      </c>
      <c r="C38" s="50"/>
      <c r="D38" s="44">
        <f>SUM('Worse Case'!K84:K93)</f>
        <v>0</v>
      </c>
      <c r="E38" s="44">
        <f>SUM('Worse Case'!L84:L93)</f>
        <v>0</v>
      </c>
      <c r="F38" s="44">
        <f>SUM('Worse Case'!M84:M93)</f>
        <v>0</v>
      </c>
      <c r="G38" s="44">
        <f>SUM('Worse Case'!N84:N93)</f>
        <v>0</v>
      </c>
      <c r="H38" s="44">
        <f>SUM('Worse Case'!O84:O93)</f>
        <v>0</v>
      </c>
      <c r="I38" s="44">
        <f>SUM('Worse Case'!P84:P93)</f>
        <v>0</v>
      </c>
    </row>
    <row r="39" spans="2:9" s="1" customFormat="1">
      <c r="B39" s="124" t="s">
        <v>41</v>
      </c>
      <c r="C39" s="125"/>
      <c r="D39" s="126">
        <f>SUM(D36:D38)</f>
        <v>0</v>
      </c>
      <c r="E39" s="126">
        <f>SUM(E36:E38)</f>
        <v>0</v>
      </c>
      <c r="F39" s="126">
        <f>SUM(F36:F38)</f>
        <v>0</v>
      </c>
      <c r="G39" s="126">
        <f>SUM(G36:G38)</f>
        <v>0</v>
      </c>
      <c r="H39" s="126">
        <f>SUM(H36:H38)</f>
        <v>0</v>
      </c>
      <c r="I39" s="126">
        <f>SUM(I36:I38)</f>
        <v>0</v>
      </c>
    </row>
    <row r="40" spans="2:9">
      <c r="B40" s="51"/>
      <c r="C40" s="50"/>
      <c r="D40" s="44"/>
      <c r="E40" s="44"/>
      <c r="F40" s="44"/>
      <c r="G40" s="44"/>
      <c r="H40" s="44"/>
      <c r="I40" s="44"/>
    </row>
    <row r="41" spans="2:9" s="1" customFormat="1">
      <c r="B41" s="114" t="s">
        <v>109</v>
      </c>
      <c r="C41" s="115"/>
      <c r="D41" s="116">
        <f>D33-D39</f>
        <v>0</v>
      </c>
      <c r="E41" s="116">
        <f>E33-E39</f>
        <v>0</v>
      </c>
      <c r="F41" s="116">
        <f>F33-F39</f>
        <v>0</v>
      </c>
      <c r="G41" s="116">
        <f>G33-G39</f>
        <v>0</v>
      </c>
      <c r="H41" s="116">
        <f>H33-H39</f>
        <v>0</v>
      </c>
      <c r="I41" s="116">
        <f>I33-I39</f>
        <v>0</v>
      </c>
    </row>
    <row r="42" spans="2:9">
      <c r="B42" s="49" t="s">
        <v>112</v>
      </c>
      <c r="C42" s="52"/>
      <c r="D42" s="77" t="e">
        <f>D41/D33</f>
        <v>#DIV/0!</v>
      </c>
      <c r="E42" s="77" t="e">
        <f>E41/E33</f>
        <v>#DIV/0!</v>
      </c>
      <c r="F42" s="77" t="e">
        <f>F41/F33</f>
        <v>#DIV/0!</v>
      </c>
      <c r="G42" s="118" t="e">
        <f>G41/G33</f>
        <v>#DIV/0!</v>
      </c>
      <c r="H42" s="118" t="e">
        <f>H41/H33</f>
        <v>#DIV/0!</v>
      </c>
      <c r="I42" s="118" t="e">
        <f>I41/I33</f>
        <v>#DIV/0!</v>
      </c>
    </row>
    <row r="43" spans="2:7">
      <c r="B43" s="82"/>
      <c r="C43" s="82"/>
      <c r="D43" s="82"/>
      <c r="E43" s="82"/>
      <c r="F43" s="82"/>
      <c r="G43" s="28"/>
    </row>
    <row r="44" spans="2:9">
      <c r="B44" s="54" t="s">
        <v>47</v>
      </c>
      <c r="C44" s="55"/>
      <c r="D44" s="45" t="e">
        <f>D39/(D23+D24)</f>
        <v>#DIV/0!</v>
      </c>
      <c r="E44" s="45" t="e">
        <f>E39/(E23+E24)</f>
        <v>#DIV/0!</v>
      </c>
      <c r="F44" s="45" t="e">
        <f>F39/(F23+F24)</f>
        <v>#DIV/0!</v>
      </c>
      <c r="G44" s="45" t="e">
        <f>G39/(G23+G24)</f>
        <v>#DIV/0!</v>
      </c>
      <c r="H44" s="45" t="e">
        <f>H39/(H23+H24)</f>
        <v>#DIV/0!</v>
      </c>
      <c r="I44" s="45" t="e">
        <f>I39/(I23+I24)</f>
        <v>#DIV/0!</v>
      </c>
    </row>
    <row r="45" spans="2:7">
      <c r="B45" s="28"/>
      <c r="C45" s="28"/>
      <c r="D45" s="28"/>
      <c r="E45" s="28"/>
      <c r="F45" s="28"/>
      <c r="G45" s="28"/>
    </row>
    <row r="46" spans="2:7">
      <c r="B46" s="28"/>
      <c r="C46" s="28"/>
      <c r="D46" s="28"/>
      <c r="E46" s="28"/>
      <c r="F46" s="28"/>
      <c r="G46" s="28"/>
    </row>
    <row r="47" spans="2:7">
      <c r="B47" s="28"/>
      <c r="C47" s="28"/>
      <c r="D47" s="28"/>
      <c r="E47" s="28"/>
      <c r="F47" s="28"/>
      <c r="G47" s="28"/>
    </row>
    <row r="48" spans="2:9">
      <c r="B48" s="95" t="s">
        <v>50</v>
      </c>
      <c r="C48" s="96"/>
      <c r="D48" s="97"/>
      <c r="E48" s="97"/>
      <c r="F48" s="97"/>
      <c r="G48" s="97"/>
      <c r="H48" s="97"/>
      <c r="I48" s="97"/>
    </row>
    <row r="49" spans="2:9">
      <c r="B49" s="98" t="s">
        <v>53</v>
      </c>
      <c r="C49" s="99"/>
      <c r="D49" s="100"/>
      <c r="E49" s="100"/>
      <c r="F49" s="100"/>
      <c r="G49" s="100"/>
      <c r="H49" s="100"/>
      <c r="I49" s="100"/>
    </row>
    <row r="50" spans="2:9">
      <c r="B50" s="49"/>
      <c r="C50" s="50"/>
      <c r="D50" s="43"/>
      <c r="E50" s="43"/>
      <c r="F50" s="43"/>
      <c r="G50" s="43"/>
      <c r="H50" s="43"/>
      <c r="I50" s="43"/>
    </row>
    <row r="51" spans="2:9">
      <c r="B51" s="49" t="s">
        <v>51</v>
      </c>
      <c r="C51" s="50"/>
      <c r="D51" s="43"/>
      <c r="E51" s="43"/>
      <c r="F51" s="43"/>
      <c r="G51" s="43"/>
      <c r="H51" s="43"/>
      <c r="I51" s="43"/>
    </row>
    <row r="52" spans="2:9">
      <c r="B52" s="51" t="s">
        <v>58</v>
      </c>
      <c r="C52" s="50"/>
      <c r="D52" s="136"/>
      <c r="E52" s="46" t="e">
        <f>E66</f>
        <v>#DIV/0!</v>
      </c>
      <c r="F52" s="46" t="e">
        <f>F66</f>
        <v>#DIV/0!</v>
      </c>
      <c r="G52" s="46" t="e">
        <f>G66</f>
        <v>#DIV/0!</v>
      </c>
      <c r="H52" s="46" t="e">
        <f>H66</f>
        <v>#DIV/0!</v>
      </c>
      <c r="I52" s="46" t="e">
        <f>I66</f>
        <v>#DIV/0!</v>
      </c>
    </row>
    <row r="53" spans="2:9">
      <c r="B53" s="51" t="s">
        <v>73</v>
      </c>
      <c r="C53" s="50"/>
      <c r="D53" s="137"/>
      <c r="E53" s="47" t="e">
        <f>E67</f>
        <v>#DIV/0!</v>
      </c>
      <c r="F53" s="47" t="e">
        <f>F67</f>
        <v>#DIV/0!</v>
      </c>
      <c r="G53" s="47" t="e">
        <f>G67</f>
        <v>#DIV/0!</v>
      </c>
      <c r="H53" s="47" t="e">
        <f>H67</f>
        <v>#DIV/0!</v>
      </c>
      <c r="I53" s="47" t="e">
        <f>I67</f>
        <v>#DIV/0!</v>
      </c>
    </row>
    <row r="54" spans="2:9">
      <c r="B54" s="51" t="s">
        <v>72</v>
      </c>
      <c r="C54" s="50"/>
      <c r="D54" s="136"/>
      <c r="E54" s="46" t="e">
        <f>E68</f>
        <v>#DIV/0!</v>
      </c>
      <c r="F54" s="46" t="e">
        <f>F68</f>
        <v>#DIV/0!</v>
      </c>
      <c r="G54" s="46" t="e">
        <f>G68</f>
        <v>#DIV/0!</v>
      </c>
      <c r="H54" s="46" t="e">
        <f>H68</f>
        <v>#DIV/0!</v>
      </c>
      <c r="I54" s="46" t="e">
        <f>I68</f>
        <v>#DIV/0!</v>
      </c>
    </row>
    <row r="55" spans="2:9">
      <c r="B55" s="53" t="s">
        <v>74</v>
      </c>
      <c r="C55" s="50"/>
      <c r="D55" s="137"/>
      <c r="E55" s="47" t="e">
        <f>E69</f>
        <v>#DIV/0!</v>
      </c>
      <c r="F55" s="47" t="e">
        <f>F69</f>
        <v>#DIV/0!</v>
      </c>
      <c r="G55" s="47" t="e">
        <f>G69</f>
        <v>#DIV/0!</v>
      </c>
      <c r="H55" s="47" t="e">
        <f>H69</f>
        <v>#DIV/0!</v>
      </c>
      <c r="I55" s="47" t="e">
        <f>I69</f>
        <v>#DIV/0!</v>
      </c>
    </row>
    <row r="56" spans="2:9">
      <c r="B56" s="49"/>
      <c r="C56" s="50"/>
      <c r="D56" s="44"/>
      <c r="E56" s="44"/>
      <c r="F56" s="44"/>
      <c r="G56" s="44"/>
      <c r="H56" s="43"/>
      <c r="I56" s="43"/>
    </row>
    <row r="57" spans="2:9">
      <c r="B57" s="53"/>
      <c r="C57" s="50"/>
      <c r="D57" s="44"/>
      <c r="E57" s="44"/>
      <c r="F57" s="44"/>
      <c r="G57" s="44"/>
      <c r="H57" s="43"/>
      <c r="I57" s="43"/>
    </row>
    <row r="58" spans="2:9">
      <c r="B58" s="56"/>
      <c r="C58" s="57"/>
      <c r="D58" s="62"/>
      <c r="E58" s="62"/>
      <c r="F58" s="62"/>
      <c r="G58" s="62"/>
      <c r="H58" s="48"/>
      <c r="I58" s="48"/>
    </row>
    <row r="63" spans="2:11">
      <c r="B63" t="s">
        <v>132</v>
      </c>
      <c r="D63" s="32"/>
      <c r="E63" s="32" t="e">
        <f>SUM(E30:E31)/E23</f>
        <v>#DIV/0!</v>
      </c>
      <c r="F63" s="32" t="e">
        <f>SUM(F30:F31)/F23</f>
        <v>#DIV/0!</v>
      </c>
      <c r="G63" s="32" t="e">
        <f>SUM(G30:G31)/G23</f>
        <v>#DIV/0!</v>
      </c>
      <c r="H63" s="32" t="e">
        <f>SUM(H30:H31)/H23</f>
        <v>#DIV/0!</v>
      </c>
      <c r="I63" s="32" t="e">
        <f>SUM(I30:I31)/I23</f>
        <v>#DIV/0!</v>
      </c>
      <c r="J63" s="134"/>
      <c r="K63" s="134"/>
    </row>
    <row r="64" spans="2:11">
      <c r="B64" t="s">
        <v>133</v>
      </c>
      <c r="D64" s="32"/>
      <c r="E64" s="32" t="e">
        <f>E32/E24</f>
        <v>#DIV/0!</v>
      </c>
      <c r="F64" s="32" t="e">
        <f>F32/F24</f>
        <v>#DIV/0!</v>
      </c>
      <c r="G64" s="32" t="e">
        <f>G32/G24</f>
        <v>#DIV/0!</v>
      </c>
      <c r="H64" s="32" t="e">
        <f>H32/H24</f>
        <v>#DIV/0!</v>
      </c>
      <c r="I64" s="32" t="e">
        <f>I32/I24</f>
        <v>#DIV/0!</v>
      </c>
      <c r="J64" s="134"/>
      <c r="K64" s="134"/>
    </row>
    <row r="65" spans="2:11">
      <c r="B65" s="89" t="s">
        <v>134</v>
      </c>
      <c r="D65" s="32"/>
      <c r="E65" s="32" t="e">
        <f>E38/E25</f>
        <v>#DIV/0!</v>
      </c>
      <c r="F65" s="32" t="e">
        <f>F38/F25</f>
        <v>#DIV/0!</v>
      </c>
      <c r="G65" s="32" t="e">
        <f>G38/G25</f>
        <v>#DIV/0!</v>
      </c>
      <c r="H65" s="32" t="e">
        <f>H38/H25</f>
        <v>#DIV/0!</v>
      </c>
      <c r="I65" s="32" t="e">
        <f>I38/I25</f>
        <v>#DIV/0!</v>
      </c>
      <c r="J65" s="134"/>
      <c r="K65" s="134"/>
    </row>
    <row r="66" spans="2:11">
      <c r="B66" t="s">
        <v>58</v>
      </c>
      <c r="D66" s="32"/>
      <c r="E66" s="32" t="e">
        <f>E63-E65</f>
        <v>#DIV/0!</v>
      </c>
      <c r="F66" s="32" t="e">
        <f>F63-F65</f>
        <v>#DIV/0!</v>
      </c>
      <c r="G66" s="32" t="e">
        <f>G63-G65</f>
        <v>#DIV/0!</v>
      </c>
      <c r="H66" s="32" t="e">
        <f>H63-H65</f>
        <v>#DIV/0!</v>
      </c>
      <c r="I66" s="32" t="e">
        <f>I63-I65</f>
        <v>#DIV/0!</v>
      </c>
      <c r="J66" s="134"/>
      <c r="K66" s="134"/>
    </row>
    <row r="67" spans="2:11">
      <c r="B67" t="s">
        <v>135</v>
      </c>
      <c r="D67" s="32"/>
      <c r="E67" s="32" t="e">
        <f>E41/E66</f>
        <v>#DIV/0!</v>
      </c>
      <c r="F67" s="32" t="e">
        <f>F41/F66</f>
        <v>#DIV/0!</v>
      </c>
      <c r="G67" s="32" t="e">
        <f>G41/G66</f>
        <v>#DIV/0!</v>
      </c>
      <c r="H67" s="32" t="e">
        <f>H41/H66</f>
        <v>#DIV/0!</v>
      </c>
      <c r="I67" s="32" t="e">
        <f>I41/I66</f>
        <v>#DIV/0!</v>
      </c>
      <c r="J67" s="32"/>
      <c r="K67" s="32"/>
    </row>
    <row r="68" spans="2:11">
      <c r="B68" t="s">
        <v>72</v>
      </c>
      <c r="D68" s="32"/>
      <c r="E68" s="32" t="e">
        <f>E64-E65</f>
        <v>#DIV/0!</v>
      </c>
      <c r="F68" s="32" t="e">
        <f>F64-F65</f>
        <v>#DIV/0!</v>
      </c>
      <c r="G68" s="32" t="e">
        <f>G64-G65</f>
        <v>#DIV/0!</v>
      </c>
      <c r="H68" s="32" t="e">
        <f>H64-H65</f>
        <v>#DIV/0!</v>
      </c>
      <c r="I68" s="32" t="e">
        <f>I64-I65</f>
        <v>#DIV/0!</v>
      </c>
      <c r="J68" s="134"/>
      <c r="K68" s="134"/>
    </row>
    <row r="69" spans="2:11">
      <c r="B69" t="s">
        <v>136</v>
      </c>
      <c r="D69" s="32"/>
      <c r="E69" s="32" t="e">
        <f>E41/E68</f>
        <v>#DIV/0!</v>
      </c>
      <c r="F69" s="32" t="e">
        <f>F41/F68</f>
        <v>#DIV/0!</v>
      </c>
      <c r="G69" s="32" t="e">
        <f>G41/G68</f>
        <v>#DIV/0!</v>
      </c>
      <c r="H69" s="32" t="e">
        <f>H41/H68</f>
        <v>#DIV/0!</v>
      </c>
      <c r="I69" s="32" t="e">
        <f>I41/I68</f>
        <v>#DIV/0!</v>
      </c>
      <c r="J69" s="32"/>
      <c r="K69" s="32"/>
    </row>
  </sheetData>
  <mergeCells count="2">
    <mergeCell ref="E5:I5"/>
    <mergeCell ref="D27:I27"/>
  </mergeCells>
  <pageMargins left="0.70866141732283472" right="0.70866141732283472" top="0.74803149606299213" bottom="0.74803149606299213" header="0.31496062992125984" footer="0.31496062992125984"/>
  <pageSetup paperSize="9" scale="76" orientation="portrait"/>
  <headerFooter scaleWithDoc="1" alignWithMargins="1" differentFirst="0" differentOddEven="0">
    <oddHeader>&amp;R&amp;A</oddHeader>
    <oddFooter>&amp;L&amp;Z&amp;F&amp;R&amp;D</oddFooter>
  </headerFooter>
  <extLst/>
</worksheet>
</file>

<file path=xl/worksheets/sheet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FF0000"/>
  </sheetPr>
  <dimension ref="A1:Q99"/>
  <sheetViews>
    <sheetView zoomScale="85" view="normal" workbookViewId="0">
      <selection pane="topLeft" activeCell="A88" sqref="A88"/>
    </sheetView>
  </sheetViews>
  <sheetFormatPr defaultRowHeight="15"/>
  <cols>
    <col min="1" max="1" width="76.75390625" bestFit="1" customWidth="1"/>
    <col min="2" max="2" width="7.125" bestFit="1" customWidth="1"/>
    <col min="3" max="3" width="8.00390625" bestFit="1" customWidth="1"/>
    <col min="4" max="4" width="6.25390625" customWidth="1"/>
    <col min="5" max="8" width="8.00390625" bestFit="1" customWidth="1"/>
    <col min="9" max="9" width="56.25390625" bestFit="1" customWidth="1"/>
    <col min="10" max="10" width="14.875" bestFit="1" customWidth="1"/>
    <col min="11" max="11" width="8.00390625" bestFit="1" customWidth="1"/>
    <col min="12" max="12" width="8.00390625" style="32" bestFit="1" customWidth="1"/>
    <col min="13" max="16" width="8.125" style="32" bestFit="1" customWidth="1"/>
  </cols>
  <sheetData>
    <row r="1" spans="1:16" s="26" customFormat="1" ht="42" customHeight="1">
      <c r="A1" s="109" t="s">
        <v>100</v>
      </c>
      <c r="L1" s="102"/>
      <c r="M1" s="102"/>
      <c r="N1" s="102"/>
      <c r="O1" s="102"/>
      <c r="P1" s="102"/>
    </row>
    <row r="2" spans="1:1">
      <c r="A2" s="108"/>
    </row>
    <row r="3" spans="1:1">
      <c r="A3" s="1" t="s">
        <v>26</v>
      </c>
    </row>
    <row r="4" spans="1:1" ht="18.75">
      <c r="A4" s="38" t="str">
        <f>Summary!A2</f>
        <v>Name of Course</v>
      </c>
    </row>
    <row r="5" spans="1:16" s="10" customFormat="1">
      <c r="A5" s="71"/>
      <c r="L5" s="90"/>
      <c r="M5" s="90"/>
      <c r="N5" s="90"/>
      <c r="O5" s="90"/>
      <c r="P5" s="90"/>
    </row>
    <row r="6" spans="1:16" s="10" customFormat="1" ht="18.75">
      <c r="A6" s="38" t="s">
        <v>99</v>
      </c>
      <c r="L6" s="90"/>
      <c r="M6" s="90"/>
      <c r="N6" s="90"/>
      <c r="O6" s="90"/>
      <c r="P6" s="90"/>
    </row>
    <row r="7" spans="1:16" s="10" customFormat="1">
      <c r="A7" s="71"/>
      <c r="L7" s="90"/>
      <c r="M7" s="90"/>
      <c r="N7" s="90"/>
      <c r="O7" s="90"/>
      <c r="P7" s="90"/>
    </row>
    <row r="8" spans="11:16">
      <c r="K8" s="306" t="s">
        <v>33</v>
      </c>
      <c r="L8" s="306"/>
      <c r="M8" s="306"/>
      <c r="N8" s="306"/>
      <c r="O8" s="306"/>
      <c r="P8" s="306"/>
    </row>
    <row r="9" spans="1:16" ht="15.75" thickBot="1">
      <c r="A9" s="23" t="s">
        <v>124</v>
      </c>
      <c r="B9" s="21"/>
      <c r="C9" s="24" t="str">
        <f>'Worse Summary'!D6</f>
        <v>2020/21</v>
      </c>
      <c r="D9" s="24" t="str">
        <f>'Worse Summary'!E6</f>
        <v>2021/22</v>
      </c>
      <c r="E9" s="24" t="str">
        <f>'Worse Summary'!F6</f>
        <v>2022/23</v>
      </c>
      <c r="F9" s="24" t="str">
        <f>'Worse Summary'!G6</f>
        <v>2023/24</v>
      </c>
      <c r="G9" s="24" t="str">
        <f>'Worse Summary'!H6</f>
        <v>2024/25</v>
      </c>
      <c r="H9" s="24" t="str">
        <f>'Worse Summary'!I6</f>
        <v>2025/26</v>
      </c>
      <c r="K9" s="141" t="str">
        <f>C9</f>
        <v>2020/21</v>
      </c>
      <c r="L9" s="141" t="str">
        <f>D9</f>
        <v>2021/22</v>
      </c>
      <c r="M9" s="141" t="str">
        <f>E9</f>
        <v>2022/23</v>
      </c>
      <c r="N9" s="141" t="str">
        <f>F9</f>
        <v>2023/24</v>
      </c>
      <c r="O9" s="141" t="str">
        <f>G9</f>
        <v>2024/25</v>
      </c>
      <c r="P9" s="141" t="str">
        <f>H9</f>
        <v>2025/26</v>
      </c>
    </row>
    <row r="10" spans="1:16" s="108" customFormat="1">
      <c r="A10" s="27" t="s">
        <v>66</v>
      </c>
      <c r="B10" s="21"/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129"/>
      <c r="K10" s="130">
        <f>C10*'Worse Summary'!$C$9</f>
        <v>0</v>
      </c>
      <c r="L10" s="130">
        <f>D10*'Worse Summary'!$C$9</f>
        <v>0</v>
      </c>
      <c r="M10" s="130">
        <f>E10*'Worse Summary'!$C$9</f>
        <v>0</v>
      </c>
      <c r="N10" s="130">
        <f>F10*'Worse Summary'!$C$9</f>
        <v>0</v>
      </c>
      <c r="O10" s="130">
        <f>G10*'Worse Summary'!$C$9</f>
        <v>0</v>
      </c>
      <c r="P10" s="130">
        <f>H10*'Worse Summary'!$C$9</f>
        <v>0</v>
      </c>
    </row>
    <row r="11" spans="1:16" s="108" customFormat="1">
      <c r="A11" s="27" t="s">
        <v>120</v>
      </c>
      <c r="B11" s="21"/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129"/>
      <c r="K11" s="130">
        <f>C11*'Worse Summary'!$C$10</f>
        <v>0</v>
      </c>
      <c r="L11" s="130">
        <f>D11*'Worse Summary'!$C$10</f>
        <v>0</v>
      </c>
      <c r="M11" s="130">
        <f>E11*'Worse Summary'!$C$10</f>
        <v>0</v>
      </c>
      <c r="N11" s="130">
        <f>F11*'Worse Summary'!$C$10</f>
        <v>0</v>
      </c>
      <c r="O11" s="130">
        <f>G11*'Worse Summary'!$C$10</f>
        <v>0</v>
      </c>
      <c r="P11" s="130">
        <f>H11*'Worse Summary'!$C$10</f>
        <v>0</v>
      </c>
    </row>
    <row r="12" spans="1:16" s="108" customFormat="1">
      <c r="A12" s="27" t="s">
        <v>121</v>
      </c>
      <c r="B12" s="21"/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129"/>
      <c r="K12" s="130">
        <f>C12*'Worse Summary'!$C$10</f>
        <v>0</v>
      </c>
      <c r="L12" s="130">
        <f>D12*'Worse Summary'!$C$10</f>
        <v>0</v>
      </c>
      <c r="M12" s="130">
        <f>E12*'Worse Summary'!$C$10</f>
        <v>0</v>
      </c>
      <c r="N12" s="130">
        <f>F12*'Worse Summary'!$C$10</f>
        <v>0</v>
      </c>
      <c r="O12" s="130">
        <f>G12*'Worse Summary'!$C$10</f>
        <v>0</v>
      </c>
      <c r="P12" s="130">
        <f>H12*'Worse Summary'!$C$10</f>
        <v>0</v>
      </c>
    </row>
    <row r="13" spans="1:16">
      <c r="A13" s="29" t="s">
        <v>119</v>
      </c>
      <c r="B13" s="21"/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10"/>
      <c r="K13" s="130">
        <f>C13*'Worse Summary'!$C$11</f>
        <v>0</v>
      </c>
      <c r="L13" s="130">
        <f>D13*'Worse Summary'!$C$11</f>
        <v>0</v>
      </c>
      <c r="M13" s="130">
        <f>E13*'Worse Summary'!$C$11</f>
        <v>0</v>
      </c>
      <c r="N13" s="130">
        <f>F13*'Worse Summary'!$C$11</f>
        <v>0</v>
      </c>
      <c r="O13" s="130">
        <f>G13*'Worse Summary'!$C$11</f>
        <v>0</v>
      </c>
      <c r="P13" s="130">
        <f>H13*'Worse Summary'!$C$11</f>
        <v>0</v>
      </c>
    </row>
    <row r="14" spans="1:16">
      <c r="A14" s="27" t="s">
        <v>57</v>
      </c>
      <c r="B14" s="21"/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10"/>
      <c r="K14" s="32">
        <f>C14*'Worse Summary'!$C$12</f>
        <v>0</v>
      </c>
      <c r="L14" s="32">
        <f>D14*'Worse Summary'!$C$12</f>
        <v>0</v>
      </c>
      <c r="M14" s="32">
        <f>E14*'Worse Summary'!$C$12</f>
        <v>0</v>
      </c>
      <c r="N14" s="32">
        <f>F14*'Worse Summary'!$C$12</f>
        <v>0</v>
      </c>
      <c r="O14" s="32">
        <f>G14*'Worse Summary'!$C$12</f>
        <v>0</v>
      </c>
      <c r="P14" s="32">
        <f>H14*'Worse Summary'!$C$12</f>
        <v>0</v>
      </c>
    </row>
    <row r="15" spans="1:16">
      <c r="A15" s="29" t="s">
        <v>71</v>
      </c>
      <c r="B15" s="21"/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10"/>
      <c r="K15" s="32">
        <f>C15*'Worse Summary'!$C$13</f>
        <v>0</v>
      </c>
      <c r="L15" s="32">
        <f>(D15*0*3000)+(D15*1500)</f>
        <v>0</v>
      </c>
      <c r="M15" s="32">
        <f>(E15*0.25*3000)+(E15*0.75*(1500))</f>
        <v>0</v>
      </c>
      <c r="N15" s="32">
        <f>(F15*0.25*3000)+(F15*0.75*(1500))</f>
        <v>0</v>
      </c>
      <c r="O15" s="32">
        <f>(G15*0.25*3000)+(G15*0.75*(1500))</f>
        <v>0</v>
      </c>
      <c r="P15" s="32">
        <f>(H15*0.25*3000)+(H15*0.75*(1500))</f>
        <v>0</v>
      </c>
    </row>
    <row r="16" spans="1:16">
      <c r="A16" s="27" t="s">
        <v>122</v>
      </c>
      <c r="B16" s="21"/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10"/>
      <c r="K16" s="32">
        <f>C16*'Worse Summary'!$C$14</f>
        <v>0</v>
      </c>
      <c r="L16" s="32">
        <f>D16*'Worse Summary'!$C$14</f>
        <v>0</v>
      </c>
      <c r="M16" s="32">
        <f>E16*'Worse Summary'!$C$14</f>
        <v>0</v>
      </c>
      <c r="N16" s="32">
        <f>F16*'Worse Summary'!$C$14</f>
        <v>0</v>
      </c>
      <c r="O16" s="32">
        <f>G16*'Worse Summary'!$C$14</f>
        <v>0</v>
      </c>
      <c r="P16" s="32">
        <f>H16*'Worse Summary'!$C$14</f>
        <v>0</v>
      </c>
    </row>
    <row r="17" spans="1:16">
      <c r="A17" s="27" t="s">
        <v>81</v>
      </c>
      <c r="B17" s="21"/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10"/>
      <c r="K17" s="32">
        <f>C17*'Worse Summary'!$C$15</f>
        <v>0</v>
      </c>
      <c r="L17" s="32">
        <f>D17*'Worse Summary'!$C$15</f>
        <v>0</v>
      </c>
      <c r="M17" s="32">
        <f>E17*'Worse Summary'!$C$15</f>
        <v>0</v>
      </c>
      <c r="N17" s="32">
        <f>F17*'Worse Summary'!$C$15</f>
        <v>0</v>
      </c>
      <c r="O17" s="32">
        <f>G17*'Worse Summary'!$C$15</f>
        <v>0</v>
      </c>
      <c r="P17" s="32">
        <f>H17*'Worse Summary'!$C$15</f>
        <v>0</v>
      </c>
    </row>
    <row r="18" spans="1:16">
      <c r="A18" s="27" t="s">
        <v>82</v>
      </c>
      <c r="B18" s="21"/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10"/>
      <c r="K18" s="32">
        <f>C18*'Worse Summary'!$C$15</f>
        <v>0</v>
      </c>
      <c r="L18" s="32">
        <f>D18*'Worse Summary'!$C$15</f>
        <v>0</v>
      </c>
      <c r="M18" s="32">
        <f>E18*'Worse Summary'!$C$15</f>
        <v>0</v>
      </c>
      <c r="N18" s="32">
        <f>F18*'Worse Summary'!$C$15</f>
        <v>0</v>
      </c>
      <c r="O18" s="32">
        <f>G18*'Worse Summary'!$C$15</f>
        <v>0</v>
      </c>
      <c r="P18" s="32">
        <f>H18*'Worse Summary'!$C$15</f>
        <v>0</v>
      </c>
    </row>
    <row r="19" spans="1:16">
      <c r="A19" s="27" t="s">
        <v>83</v>
      </c>
      <c r="B19" s="21"/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10"/>
      <c r="K19" s="32">
        <f>C19*'Worse Summary'!$C$15</f>
        <v>0</v>
      </c>
      <c r="L19" s="32">
        <f>D19*'Worse Summary'!$C$15</f>
        <v>0</v>
      </c>
      <c r="M19" s="32">
        <f>E19*'Worse Summary'!$C$15</f>
        <v>0</v>
      </c>
      <c r="N19" s="32">
        <f>F19*'Worse Summary'!$C$15</f>
        <v>0</v>
      </c>
      <c r="O19" s="32">
        <f>G19*'Worse Summary'!$C$15</f>
        <v>0</v>
      </c>
      <c r="P19" s="32">
        <f>H19*'Worse Summary'!$C$15</f>
        <v>0</v>
      </c>
    </row>
    <row r="20" spans="1:16">
      <c r="A20" s="29" t="s">
        <v>126</v>
      </c>
      <c r="B20" s="21"/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10"/>
      <c r="K20" s="32">
        <f>C20*'Worse Summary'!$C$15</f>
        <v>0</v>
      </c>
      <c r="L20" s="32">
        <f>D20*'Worse Summary'!$C$15</f>
        <v>0</v>
      </c>
      <c r="M20" s="32">
        <f>E20*'Worse Summary'!$C$15</f>
        <v>0</v>
      </c>
      <c r="N20" s="32">
        <f>F20*'Worse Summary'!$C$15</f>
        <v>0</v>
      </c>
      <c r="O20" s="32">
        <f>G20*'Worse Summary'!$C$15</f>
        <v>0</v>
      </c>
      <c r="P20" s="32">
        <f>H20*'Worse Summary'!$C$15</f>
        <v>0</v>
      </c>
    </row>
    <row r="21" spans="1:16">
      <c r="A21" s="27" t="s">
        <v>84</v>
      </c>
      <c r="B21" s="21"/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10"/>
      <c r="K21" s="32">
        <f>C21*'Worse Summary'!$C$15</f>
        <v>0</v>
      </c>
      <c r="L21" s="32">
        <f>D21*'Worse Summary'!$C$15</f>
        <v>0</v>
      </c>
      <c r="M21" s="32">
        <f>E21*'Worse Summary'!$C$15</f>
        <v>0</v>
      </c>
      <c r="N21" s="32">
        <f>F21*'Worse Summary'!$C$15</f>
        <v>0</v>
      </c>
      <c r="O21" s="32">
        <f>G21*'Worse Summary'!$C$15</f>
        <v>0</v>
      </c>
      <c r="P21" s="32">
        <f>H21*'Worse Summary'!$C$15</f>
        <v>0</v>
      </c>
    </row>
    <row r="22" spans="1:16">
      <c r="A22" s="29" t="s">
        <v>94</v>
      </c>
      <c r="B22" s="21"/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10"/>
      <c r="K22" s="32">
        <f>C22*'Worse Summary'!$C$15</f>
        <v>0</v>
      </c>
      <c r="L22" s="32">
        <f>D22*'Worse Summary'!$C$15</f>
        <v>0</v>
      </c>
      <c r="M22" s="32">
        <f>E22*'Worse Summary'!$C$15</f>
        <v>0</v>
      </c>
      <c r="N22" s="32">
        <f>F22*'Worse Summary'!$C$15</f>
        <v>0</v>
      </c>
      <c r="O22" s="32">
        <f>G22*'Worse Summary'!$C$15</f>
        <v>0</v>
      </c>
      <c r="P22" s="32">
        <f>H22*'Worse Summary'!$C$15</f>
        <v>0</v>
      </c>
    </row>
    <row r="23" spans="1:16">
      <c r="A23" s="27" t="s">
        <v>123</v>
      </c>
      <c r="B23" s="21"/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10"/>
      <c r="K23" s="32">
        <f>C23*'Worse Summary'!$C$15</f>
        <v>0</v>
      </c>
      <c r="L23" s="32">
        <f>D23*'Worse Summary'!$C$15</f>
        <v>0</v>
      </c>
      <c r="M23" s="32">
        <f>E23*'Worse Summary'!$C$15</f>
        <v>0</v>
      </c>
      <c r="N23" s="32">
        <f>F23*'Worse Summary'!$C$15</f>
        <v>0</v>
      </c>
      <c r="O23" s="32">
        <f>G23*'Worse Summary'!$C$15</f>
        <v>0</v>
      </c>
      <c r="P23" s="32">
        <f>H23*'Worse Summary'!$C$15</f>
        <v>0</v>
      </c>
    </row>
    <row r="24" spans="1:11">
      <c r="A24" s="27"/>
      <c r="B24" s="21"/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10"/>
      <c r="K24" s="90"/>
    </row>
    <row r="25" spans="1:16" ht="15.75" thickBot="1">
      <c r="A25" s="29" t="s">
        <v>130</v>
      </c>
      <c r="B25" s="21"/>
      <c r="C25" s="75">
        <f>SUM(C10:C24)</f>
        <v>0</v>
      </c>
      <c r="D25" s="75">
        <f>SUM(D10:D24)</f>
        <v>0</v>
      </c>
      <c r="E25" s="75">
        <f>SUM(E10:E24)</f>
        <v>0</v>
      </c>
      <c r="F25" s="75">
        <f>SUM(F10:F24)</f>
        <v>0</v>
      </c>
      <c r="G25" s="75">
        <f>SUM(G10:G24)</f>
        <v>0</v>
      </c>
      <c r="H25" s="75">
        <f>SUM(H10:H24)</f>
        <v>0</v>
      </c>
      <c r="I25" s="10"/>
      <c r="K25" s="174">
        <f>SUM(K10:K23)</f>
        <v>0</v>
      </c>
      <c r="L25" s="105">
        <f>SUM(L10:L23)</f>
        <v>0</v>
      </c>
      <c r="M25" s="105">
        <f>SUM(M10:M23)</f>
        <v>0</v>
      </c>
      <c r="N25" s="105">
        <f>SUM(N10:N23)</f>
        <v>0</v>
      </c>
      <c r="O25" s="105">
        <f>SUM(O10:O23)</f>
        <v>0</v>
      </c>
      <c r="P25" s="105">
        <f>SUM(P10:P23)</f>
        <v>0</v>
      </c>
    </row>
    <row r="26" spans="1:9" ht="15.75" thickTop="1">
      <c r="A26" s="30" t="s">
        <v>61</v>
      </c>
      <c r="C26" s="83">
        <f>SUM(C33,C36,C37,C38)</f>
        <v>0</v>
      </c>
      <c r="D26" s="83">
        <f>SUM(D33,D36,D37,D38)</f>
        <v>0</v>
      </c>
      <c r="E26" s="83">
        <f>SUM(E33,E36,E37,E38)</f>
        <v>0</v>
      </c>
      <c r="F26" s="83">
        <f>SUM(F33,F36,F37,F38)</f>
        <v>0</v>
      </c>
      <c r="G26" s="83">
        <f>SUM(G33,G36,G37,G38)</f>
        <v>0</v>
      </c>
      <c r="H26" s="83">
        <f>SUM(H33,H36,H37,H38)</f>
        <v>0</v>
      </c>
      <c r="I26" s="10"/>
    </row>
    <row r="27" spans="1:9">
      <c r="A27" s="30" t="s">
        <v>62</v>
      </c>
      <c r="C27" s="83">
        <f>SUM(C40,C43,C44,C45)</f>
        <v>0</v>
      </c>
      <c r="D27" s="83">
        <f>SUM(D40,D43,D44,D45)</f>
        <v>0</v>
      </c>
      <c r="E27" s="83">
        <f>SUM(E40,E43,E44,E45)</f>
        <v>0</v>
      </c>
      <c r="F27" s="83">
        <f>SUM(F40,F43,F44,F45)</f>
        <v>0</v>
      </c>
      <c r="G27" s="83">
        <f>SUM(G40,G43,G44,G45)</f>
        <v>0</v>
      </c>
      <c r="H27" s="83">
        <f>SUM(H40,H43,H44,H45)</f>
        <v>0</v>
      </c>
      <c r="I27" s="10"/>
    </row>
    <row r="28" spans="1:9">
      <c r="A28" s="30" t="s">
        <v>63</v>
      </c>
      <c r="C28" s="83">
        <f>SUM(C34,C35,C39,C46)</f>
        <v>0</v>
      </c>
      <c r="D28" s="83">
        <f>SUM(D34,D35,D39,D46)</f>
        <v>0</v>
      </c>
      <c r="E28" s="83">
        <f>SUM(E34,E35,E39,E46)</f>
        <v>0</v>
      </c>
      <c r="F28" s="83">
        <f>SUM(F34,F35,F39,F46)</f>
        <v>0</v>
      </c>
      <c r="G28" s="83">
        <f>SUM(G34,G35,G39,G46)</f>
        <v>0</v>
      </c>
      <c r="H28" s="83">
        <f>SUM(H34,H35,H39,H46)</f>
        <v>0</v>
      </c>
      <c r="I28" s="10"/>
    </row>
    <row r="29" spans="1:9">
      <c r="A29" s="31" t="s">
        <v>131</v>
      </c>
      <c r="B29" s="21"/>
      <c r="C29" s="84">
        <f>SUM(C26:C28)</f>
        <v>0</v>
      </c>
      <c r="D29" s="84">
        <f>SUM(D26:D28)</f>
        <v>0</v>
      </c>
      <c r="E29" s="84">
        <f>SUM(E26:E28)</f>
        <v>0</v>
      </c>
      <c r="F29" s="84">
        <f>SUM(F26:F28)</f>
        <v>0</v>
      </c>
      <c r="G29" s="84">
        <f>SUM(G26:G28)</f>
        <v>0</v>
      </c>
      <c r="H29" s="84">
        <f>SUM(H26:H28)</f>
        <v>0</v>
      </c>
      <c r="I29" s="10"/>
    </row>
    <row r="30" spans="1:10">
      <c r="A30" s="63"/>
      <c r="C30" s="39"/>
      <c r="D30" s="39"/>
      <c r="E30" s="39"/>
      <c r="F30" s="39"/>
      <c r="G30" s="39"/>
      <c r="H30" s="39"/>
      <c r="J30" t="s">
        <v>310</v>
      </c>
    </row>
    <row r="31" spans="1:16">
      <c r="A31" s="21"/>
      <c r="B31" s="40"/>
      <c r="C31" s="40"/>
      <c r="D31" s="40"/>
      <c r="E31" s="40"/>
      <c r="F31" s="39"/>
      <c r="G31" s="39"/>
      <c r="H31" s="39"/>
      <c r="K31" s="306" t="s">
        <v>153</v>
      </c>
      <c r="L31" s="306"/>
      <c r="M31" s="306"/>
      <c r="N31" s="306"/>
      <c r="O31" s="306"/>
      <c r="P31" s="306"/>
    </row>
    <row r="32" spans="1:16" ht="15.75" thickBot="1">
      <c r="A32" s="23" t="s">
        <v>125</v>
      </c>
      <c r="B32" s="22" t="s">
        <v>43</v>
      </c>
      <c r="C32" s="40"/>
      <c r="D32" s="40"/>
      <c r="F32" s="39"/>
      <c r="G32" s="39"/>
      <c r="H32" s="39"/>
      <c r="K32" s="141" t="str">
        <f>K9</f>
        <v>2020/21</v>
      </c>
      <c r="L32" s="141" t="str">
        <f>L9</f>
        <v>2021/22</v>
      </c>
      <c r="M32" s="141" t="str">
        <f>M9</f>
        <v>2022/23</v>
      </c>
      <c r="N32" s="141" t="str">
        <f>N9</f>
        <v>2023/24</v>
      </c>
      <c r="O32" s="141" t="str">
        <f>O9</f>
        <v>2024/25</v>
      </c>
      <c r="P32" s="141" t="str">
        <f>P9</f>
        <v>2025/26</v>
      </c>
    </row>
    <row r="33" spans="1:16">
      <c r="A33" s="27" t="s">
        <v>66</v>
      </c>
      <c r="B33" s="85">
        <v>1</v>
      </c>
      <c r="C33" s="85">
        <f>C10*$B33</f>
        <v>0</v>
      </c>
      <c r="D33" s="85">
        <f>D10*$B33</f>
        <v>0</v>
      </c>
      <c r="E33" s="85">
        <f>E10*$B33</f>
        <v>0</v>
      </c>
      <c r="F33" s="85">
        <f>F10*$B33</f>
        <v>0</v>
      </c>
      <c r="G33" s="85">
        <f>G10*$B33</f>
        <v>0</v>
      </c>
      <c r="H33" s="85">
        <f>H10*$B33</f>
        <v>0</v>
      </c>
      <c r="J33" s="127">
        <f>'Ideal Case'!J33</f>
        <v>0</v>
      </c>
      <c r="K33" s="90"/>
      <c r="L33" s="90">
        <f>C33*$J$33</f>
        <v>0</v>
      </c>
      <c r="M33" s="90">
        <f>D33*$J$33</f>
        <v>0</v>
      </c>
      <c r="N33" s="90">
        <f>E33*$J$33</f>
        <v>0</v>
      </c>
      <c r="O33" s="90">
        <f>F33*$J$33</f>
        <v>0</v>
      </c>
      <c r="P33" s="90">
        <f>G33*$J$33</f>
        <v>0</v>
      </c>
    </row>
    <row r="34" spans="1:16">
      <c r="A34" s="27" t="s">
        <v>120</v>
      </c>
      <c r="B34" s="85">
        <v>0.5</v>
      </c>
      <c r="C34" s="85">
        <f>C11*$B34</f>
        <v>0</v>
      </c>
      <c r="D34" s="85">
        <f>D11*$B34</f>
        <v>0</v>
      </c>
      <c r="E34" s="85">
        <f>E11*$B34</f>
        <v>0</v>
      </c>
      <c r="F34" s="85">
        <f>F11*$B34</f>
        <v>0</v>
      </c>
      <c r="G34" s="85">
        <f>G11*$B34</f>
        <v>0</v>
      </c>
      <c r="H34" s="85">
        <f>H11*$B34</f>
        <v>0</v>
      </c>
      <c r="J34" s="127">
        <f>'Ideal Case'!J34</f>
        <v>0</v>
      </c>
      <c r="K34" s="90"/>
      <c r="L34" s="90">
        <f>C34*$J$33</f>
        <v>0</v>
      </c>
      <c r="M34" s="90">
        <f>D34*$J$33</f>
        <v>0</v>
      </c>
      <c r="N34" s="90">
        <f>E34*$J$33</f>
        <v>0</v>
      </c>
      <c r="O34" s="90">
        <f>F34*$J$33</f>
        <v>0</v>
      </c>
      <c r="P34" s="90">
        <f>G34*$J$33</f>
        <v>0</v>
      </c>
    </row>
    <row r="35" spans="1:16">
      <c r="A35" s="27" t="s">
        <v>121</v>
      </c>
      <c r="B35" s="85">
        <v>0.5</v>
      </c>
      <c r="C35" s="85">
        <f>C12*$B35</f>
        <v>0</v>
      </c>
      <c r="D35" s="85">
        <f>D12*$B35</f>
        <v>0</v>
      </c>
      <c r="E35" s="85">
        <f>E12*$B35</f>
        <v>0</v>
      </c>
      <c r="F35" s="85">
        <f>F12*$B35</f>
        <v>0</v>
      </c>
      <c r="G35" s="85">
        <f>G12*$B35</f>
        <v>0</v>
      </c>
      <c r="H35" s="85">
        <f>H12*$B35</f>
        <v>0</v>
      </c>
      <c r="J35" s="127">
        <f>'Ideal Case'!J35</f>
        <v>0</v>
      </c>
      <c r="K35" s="90"/>
      <c r="L35" s="90">
        <f>C35*$J$33</f>
        <v>0</v>
      </c>
      <c r="M35" s="90">
        <f>D35*$J$33</f>
        <v>0</v>
      </c>
      <c r="N35" s="90">
        <f>E35*$J$33</f>
        <v>0</v>
      </c>
      <c r="O35" s="90">
        <f>F35*$J$33</f>
        <v>0</v>
      </c>
      <c r="P35" s="90">
        <f>G35*$J$33</f>
        <v>0</v>
      </c>
    </row>
    <row r="36" spans="1:16">
      <c r="A36" s="29" t="s">
        <v>119</v>
      </c>
      <c r="B36" s="85">
        <v>1</v>
      </c>
      <c r="C36" s="85">
        <f>C13*$B36</f>
        <v>0</v>
      </c>
      <c r="D36" s="85">
        <f>D13*$B36</f>
        <v>0</v>
      </c>
      <c r="E36" s="85">
        <f>E13*$B36</f>
        <v>0</v>
      </c>
      <c r="F36" s="85">
        <f>F13*$B36</f>
        <v>0</v>
      </c>
      <c r="G36" s="85">
        <f>G13*$B36</f>
        <v>0</v>
      </c>
      <c r="H36" s="85">
        <f>H13*$B36</f>
        <v>0</v>
      </c>
      <c r="J36" s="127">
        <f>'Ideal Case'!J36</f>
        <v>0</v>
      </c>
      <c r="K36" s="90"/>
      <c r="L36" s="90">
        <f>C36*$J$33</f>
        <v>0</v>
      </c>
      <c r="M36" s="90">
        <f>D36*$J$33</f>
        <v>0</v>
      </c>
      <c r="N36" s="90">
        <f>E36*$J$33</f>
        <v>0</v>
      </c>
      <c r="O36" s="90">
        <f>F36*$J$33</f>
        <v>0</v>
      </c>
      <c r="P36" s="90">
        <f>G36*$J$33</f>
        <v>0</v>
      </c>
    </row>
    <row r="37" spans="1:16">
      <c r="A37" s="27" t="s">
        <v>57</v>
      </c>
      <c r="B37" s="85">
        <v>0.67</v>
      </c>
      <c r="C37" s="85">
        <f>C14*$B37</f>
        <v>0</v>
      </c>
      <c r="D37" s="85">
        <f>D14*$B37</f>
        <v>0</v>
      </c>
      <c r="E37" s="85">
        <f>E14*$B37</f>
        <v>0</v>
      </c>
      <c r="F37" s="85">
        <f>F14*$B37</f>
        <v>0</v>
      </c>
      <c r="G37" s="85">
        <f>G14*$B37</f>
        <v>0</v>
      </c>
      <c r="H37" s="85">
        <f>H14*$B37</f>
        <v>0</v>
      </c>
      <c r="J37" s="127">
        <f>'Ideal Case'!J37</f>
        <v>0</v>
      </c>
      <c r="K37" s="90"/>
      <c r="L37" s="90"/>
      <c r="M37" s="90"/>
      <c r="N37" s="90"/>
      <c r="O37" s="90"/>
      <c r="P37" s="90"/>
    </row>
    <row r="38" spans="1:16">
      <c r="A38" s="29" t="s">
        <v>71</v>
      </c>
      <c r="B38" s="85">
        <v>0.33</v>
      </c>
      <c r="C38" s="85">
        <f>C15*$B38</f>
        <v>0</v>
      </c>
      <c r="D38" s="85">
        <f>D15*$B38</f>
        <v>0</v>
      </c>
      <c r="E38" s="85">
        <f>E15*$B38</f>
        <v>0</v>
      </c>
      <c r="F38" s="85">
        <f>F15*$B38</f>
        <v>0</v>
      </c>
      <c r="G38" s="85">
        <f>G15*$B38</f>
        <v>0</v>
      </c>
      <c r="H38" s="85">
        <f>H15*$B38</f>
        <v>0</v>
      </c>
      <c r="J38" s="127">
        <f>'Ideal Case'!J38</f>
        <v>0</v>
      </c>
      <c r="K38" s="90"/>
      <c r="L38" s="90"/>
      <c r="M38" s="90"/>
      <c r="N38" s="90"/>
      <c r="O38" s="90"/>
      <c r="P38" s="90"/>
    </row>
    <row r="39" spans="1:16">
      <c r="A39" s="27" t="s">
        <v>122</v>
      </c>
      <c r="B39" s="85">
        <f>15/180</f>
        <v>0.083333333333333329</v>
      </c>
      <c r="C39" s="85">
        <f>C16*$B39</f>
        <v>0</v>
      </c>
      <c r="D39" s="85">
        <f>D16*$B39</f>
        <v>0</v>
      </c>
      <c r="E39" s="85">
        <f>E16*$B39</f>
        <v>0</v>
      </c>
      <c r="F39" s="85">
        <f>F16*$B39</f>
        <v>0</v>
      </c>
      <c r="G39" s="85">
        <f>G16*$B39</f>
        <v>0</v>
      </c>
      <c r="H39" s="85">
        <f>H16*$B39</f>
        <v>0</v>
      </c>
      <c r="K39" s="90"/>
      <c r="L39" s="90"/>
      <c r="M39" s="90"/>
      <c r="N39" s="90"/>
      <c r="O39" s="90"/>
      <c r="P39" s="90"/>
    </row>
    <row r="40" spans="1:16">
      <c r="A40" s="27" t="s">
        <v>81</v>
      </c>
      <c r="B40" s="85">
        <v>1</v>
      </c>
      <c r="C40" s="85">
        <f>C17*$B40</f>
        <v>0</v>
      </c>
      <c r="D40" s="85">
        <f>D17*$B40</f>
        <v>0</v>
      </c>
      <c r="E40" s="85">
        <f>E17*$B40</f>
        <v>0</v>
      </c>
      <c r="F40" s="85">
        <f>F17*$B40</f>
        <v>0</v>
      </c>
      <c r="G40" s="85">
        <f>G17*$B40</f>
        <v>0</v>
      </c>
      <c r="H40" s="85">
        <f>H17*$B40</f>
        <v>0</v>
      </c>
      <c r="K40" s="90"/>
      <c r="L40" s="90"/>
      <c r="M40" s="90"/>
      <c r="N40" s="90"/>
      <c r="O40" s="90"/>
      <c r="P40" s="90"/>
    </row>
    <row r="41" spans="1:16">
      <c r="A41" s="27" t="s">
        <v>82</v>
      </c>
      <c r="B41" s="85">
        <f>B37</f>
        <v>0.67</v>
      </c>
      <c r="C41" s="85">
        <f>C18*$B41</f>
        <v>0</v>
      </c>
      <c r="D41" s="85">
        <f>D18*$B41</f>
        <v>0</v>
      </c>
      <c r="E41" s="85">
        <f>E18*$B41</f>
        <v>0</v>
      </c>
      <c r="F41" s="85">
        <f>F18*$B41</f>
        <v>0</v>
      </c>
      <c r="G41" s="85">
        <f>G18*$B41</f>
        <v>0</v>
      </c>
      <c r="H41" s="85">
        <f>H18*$B41</f>
        <v>0</v>
      </c>
      <c r="K41" s="90"/>
      <c r="L41" s="90"/>
      <c r="M41" s="90"/>
      <c r="N41" s="90"/>
      <c r="O41" s="90"/>
      <c r="P41" s="90"/>
    </row>
    <row r="42" spans="1:16">
      <c r="A42" s="27" t="s">
        <v>83</v>
      </c>
      <c r="B42" s="85">
        <f>B38</f>
        <v>0.33</v>
      </c>
      <c r="C42" s="85">
        <f>C19*$B42</f>
        <v>0</v>
      </c>
      <c r="D42" s="85">
        <f>D19*$B42</f>
        <v>0</v>
      </c>
      <c r="E42" s="85">
        <f>E19*$B42</f>
        <v>0</v>
      </c>
      <c r="F42" s="85">
        <f>F19*$B42</f>
        <v>0</v>
      </c>
      <c r="G42" s="85">
        <f>G19*$B42</f>
        <v>0</v>
      </c>
      <c r="H42" s="85">
        <f>H19*$B42</f>
        <v>0</v>
      </c>
      <c r="K42" s="90"/>
      <c r="L42" s="90"/>
      <c r="M42" s="90"/>
      <c r="N42" s="90"/>
      <c r="O42" s="90"/>
      <c r="P42" s="90"/>
    </row>
    <row r="43" spans="1:16">
      <c r="A43" s="29" t="s">
        <v>126</v>
      </c>
      <c r="B43" s="85">
        <v>1</v>
      </c>
      <c r="C43" s="85">
        <f>C20*$B43</f>
        <v>0</v>
      </c>
      <c r="D43" s="85">
        <f>D20*$B43</f>
        <v>0</v>
      </c>
      <c r="E43" s="85">
        <f>E20*$B43</f>
        <v>0</v>
      </c>
      <c r="F43" s="85">
        <f>F20*$B43</f>
        <v>0</v>
      </c>
      <c r="G43" s="85">
        <f>G20*$B43</f>
        <v>0</v>
      </c>
      <c r="H43" s="85">
        <f>H20*$B43</f>
        <v>0</v>
      </c>
      <c r="K43" s="90"/>
      <c r="L43" s="90"/>
      <c r="M43" s="90"/>
      <c r="N43" s="90"/>
      <c r="O43" s="90"/>
      <c r="P43" s="90"/>
    </row>
    <row r="44" spans="1:16">
      <c r="A44" s="27" t="s">
        <v>95</v>
      </c>
      <c r="B44" s="85">
        <v>0.67</v>
      </c>
      <c r="C44" s="85">
        <f>C21*$B44</f>
        <v>0</v>
      </c>
      <c r="D44" s="85">
        <f>D21*$B44</f>
        <v>0</v>
      </c>
      <c r="E44" s="85">
        <f>E21*$B44</f>
        <v>0</v>
      </c>
      <c r="F44" s="85">
        <f>F21*$B44</f>
        <v>0</v>
      </c>
      <c r="G44" s="85">
        <f>G21*$B44</f>
        <v>0</v>
      </c>
      <c r="H44" s="85">
        <f>H21*$B44</f>
        <v>0</v>
      </c>
      <c r="K44" s="90"/>
      <c r="L44" s="90"/>
      <c r="M44" s="90"/>
      <c r="N44" s="90"/>
      <c r="O44" s="90"/>
      <c r="P44" s="90"/>
    </row>
    <row r="45" spans="1:16">
      <c r="A45" s="29" t="s">
        <v>94</v>
      </c>
      <c r="B45" s="85">
        <v>0.33</v>
      </c>
      <c r="C45" s="85">
        <f>C22*$B45</f>
        <v>0</v>
      </c>
      <c r="D45" s="85">
        <f>D22*$B45</f>
        <v>0</v>
      </c>
      <c r="E45" s="85">
        <f>E22*$B45</f>
        <v>0</v>
      </c>
      <c r="F45" s="85">
        <f>F22*$B45</f>
        <v>0</v>
      </c>
      <c r="G45" s="85">
        <f>G22*$B45</f>
        <v>0</v>
      </c>
      <c r="H45" s="85">
        <f>H22*$B45</f>
        <v>0</v>
      </c>
      <c r="K45" s="90"/>
      <c r="L45" s="90"/>
      <c r="M45" s="90"/>
      <c r="N45" s="90"/>
      <c r="O45" s="90"/>
      <c r="P45" s="90"/>
    </row>
    <row r="46" spans="1:16">
      <c r="A46" s="27" t="s">
        <v>75</v>
      </c>
      <c r="B46" s="85">
        <f>15/180</f>
        <v>0.083333333333333329</v>
      </c>
      <c r="C46" s="85">
        <f>C23*$B46</f>
        <v>0</v>
      </c>
      <c r="D46" s="85">
        <f>D23*$B46</f>
        <v>0</v>
      </c>
      <c r="E46" s="85">
        <f>E23*$B46</f>
        <v>0</v>
      </c>
      <c r="F46" s="85">
        <f>F23*$B46</f>
        <v>0</v>
      </c>
      <c r="G46" s="85">
        <f>G23*$B46</f>
        <v>0</v>
      </c>
      <c r="H46" s="85">
        <f>H23*$B46</f>
        <v>0</v>
      </c>
      <c r="K46" s="90"/>
      <c r="L46" s="90"/>
      <c r="M46" s="90"/>
      <c r="N46" s="90"/>
      <c r="O46" s="90"/>
      <c r="P46" s="90"/>
    </row>
    <row r="47" spans="1:16" customHeight="1" thickBot="1">
      <c r="A47" s="80"/>
      <c r="B47" s="81"/>
      <c r="C47" s="81"/>
      <c r="D47" s="81"/>
      <c r="E47" s="81"/>
      <c r="F47" s="81"/>
      <c r="G47" s="81"/>
      <c r="H47" s="81"/>
      <c r="I47" s="8"/>
      <c r="J47" s="8"/>
      <c r="K47" s="174">
        <f>SUM(K33:K46)</f>
        <v>0</v>
      </c>
      <c r="L47" s="174">
        <f>SUM(L33:L46)</f>
        <v>0</v>
      </c>
      <c r="M47" s="174">
        <f>SUM(M33:M46)</f>
        <v>0</v>
      </c>
      <c r="N47" s="174">
        <f>SUM(N33:N46)</f>
        <v>0</v>
      </c>
      <c r="O47" s="174">
        <f>SUM(O33:O46)</f>
        <v>0</v>
      </c>
      <c r="P47" s="174">
        <f>SUM(P33:P46)</f>
        <v>0</v>
      </c>
    </row>
    <row r="48" spans="1:16" ht="15.75" thickTop="1">
      <c r="A48" s="27"/>
      <c r="B48" s="81"/>
      <c r="C48" s="81"/>
      <c r="D48" s="81"/>
      <c r="E48" s="81"/>
      <c r="F48" s="81"/>
      <c r="G48" s="81"/>
      <c r="H48" s="81"/>
      <c r="K48" s="106"/>
      <c r="L48" s="106"/>
      <c r="M48" s="106"/>
      <c r="N48" s="106"/>
      <c r="O48" s="106"/>
      <c r="P48" s="106"/>
    </row>
    <row r="49" spans="1:16" customHeight="1" thickBot="1">
      <c r="A49" s="29" t="s">
        <v>129</v>
      </c>
      <c r="B49" s="40"/>
      <c r="C49" s="86">
        <f>SUM(C33:C47)</f>
        <v>0</v>
      </c>
      <c r="D49" s="86">
        <f>SUM(D33:D47)</f>
        <v>0</v>
      </c>
      <c r="E49" s="86">
        <f>SUM(E33:E47)</f>
        <v>0</v>
      </c>
      <c r="F49" s="86">
        <f>SUM(F33:F47)</f>
        <v>0</v>
      </c>
      <c r="G49" s="86">
        <f>SUM(G33:G47)</f>
        <v>0</v>
      </c>
      <c r="H49" s="86">
        <f>SUM(H33:H47)</f>
        <v>0</v>
      </c>
      <c r="J49" s="111" t="s">
        <v>106</v>
      </c>
      <c r="K49" s="175">
        <f>K25+K47</f>
        <v>0</v>
      </c>
      <c r="L49" s="112">
        <f>L25+L47</f>
        <v>0</v>
      </c>
      <c r="M49" s="112">
        <f>M25+M47</f>
        <v>0</v>
      </c>
      <c r="N49" s="112">
        <f>N25+N47</f>
        <v>0</v>
      </c>
      <c r="O49" s="112">
        <f>O25+O47</f>
        <v>0</v>
      </c>
      <c r="P49" s="112">
        <f>P25+P47</f>
        <v>0</v>
      </c>
    </row>
    <row r="50" spans="1:16" ht="15.75" thickTop="1">
      <c r="A50" s="21"/>
      <c r="B50" s="40"/>
      <c r="C50" s="133">
        <f>C49-C29</f>
        <v>0</v>
      </c>
      <c r="D50" s="133">
        <f>D49-D29</f>
        <v>0</v>
      </c>
      <c r="E50" s="133">
        <f>E49-E29</f>
        <v>0</v>
      </c>
      <c r="F50" s="133">
        <f>F49-F29</f>
        <v>0</v>
      </c>
      <c r="G50" s="133">
        <f>G49-G29</f>
        <v>0</v>
      </c>
      <c r="H50" s="133">
        <f>H49-H29</f>
        <v>0</v>
      </c>
      <c r="L50" s="107"/>
      <c r="M50" s="103"/>
      <c r="N50" s="103"/>
      <c r="O50" s="103"/>
      <c r="P50" s="103"/>
    </row>
    <row r="51" spans="1:16">
      <c r="A51" s="21"/>
      <c r="B51" s="40"/>
      <c r="C51" s="40"/>
      <c r="D51" s="40"/>
      <c r="E51" s="40"/>
      <c r="F51" s="39"/>
      <c r="G51" s="39"/>
      <c r="H51" s="39"/>
      <c r="L51" s="107"/>
      <c r="M51" s="110"/>
      <c r="N51" s="110"/>
      <c r="O51" s="110"/>
      <c r="P51" s="110"/>
    </row>
    <row r="52" spans="1:16">
      <c r="A52" s="21"/>
      <c r="B52" s="40"/>
      <c r="C52" s="40"/>
      <c r="D52" s="40"/>
      <c r="E52" s="40"/>
      <c r="F52" s="39"/>
      <c r="G52" s="39"/>
      <c r="H52" s="39"/>
      <c r="L52" s="107"/>
      <c r="M52" s="110"/>
      <c r="N52" s="110"/>
      <c r="O52" s="110"/>
      <c r="P52" s="110"/>
    </row>
    <row r="53" spans="1:16" ht="18.75">
      <c r="A53" s="38" t="s">
        <v>101</v>
      </c>
      <c r="K53" s="306" t="s">
        <v>42</v>
      </c>
      <c r="L53" s="306"/>
      <c r="M53" s="306"/>
      <c r="N53" s="306"/>
      <c r="O53" s="306"/>
      <c r="P53" s="306"/>
    </row>
    <row r="54" spans="1:16" ht="15.75" thickBot="1">
      <c r="A54" t="s">
        <v>156</v>
      </c>
      <c r="C54" s="24" t="str">
        <f>C9</f>
        <v>2020/21</v>
      </c>
      <c r="D54" s="24" t="str">
        <f>D9</f>
        <v>2021/22</v>
      </c>
      <c r="E54" s="24" t="str">
        <f>E9</f>
        <v>2022/23</v>
      </c>
      <c r="F54" s="24" t="str">
        <f>F9</f>
        <v>2023/24</v>
      </c>
      <c r="G54" s="24" t="str">
        <f>G9</f>
        <v>2024/25</v>
      </c>
      <c r="H54" s="24" t="str">
        <f>H9</f>
        <v>2025/26</v>
      </c>
      <c r="I54" s="88" t="s">
        <v>160</v>
      </c>
      <c r="J54" t="s">
        <v>161</v>
      </c>
      <c r="K54" s="141" t="str">
        <f>K32</f>
        <v>2020/21</v>
      </c>
      <c r="L54" s="141" t="str">
        <f>L32</f>
        <v>2021/22</v>
      </c>
      <c r="M54" s="141" t="str">
        <f>M32</f>
        <v>2022/23</v>
      </c>
      <c r="N54" s="141" t="str">
        <f>N32</f>
        <v>2023/24</v>
      </c>
      <c r="O54" s="141" t="str">
        <f>O32</f>
        <v>2024/25</v>
      </c>
      <c r="P54" s="141" t="str">
        <f>P32</f>
        <v>2025/26</v>
      </c>
    </row>
    <row r="55" spans="1:11">
      <c r="A55" s="1" t="s">
        <v>102</v>
      </c>
      <c r="B55" s="14" t="s">
        <v>25</v>
      </c>
      <c r="C55" s="15"/>
      <c r="D55" s="15" t="s">
        <v>56</v>
      </c>
      <c r="K55" s="32"/>
    </row>
    <row r="56" spans="1:17">
      <c r="A56" s="4" t="s">
        <v>154</v>
      </c>
      <c r="C56" s="69">
        <v>0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K56" s="104"/>
      <c r="L56" s="104"/>
      <c r="M56" s="104"/>
      <c r="N56" s="104"/>
      <c r="O56" s="104"/>
      <c r="P56" s="104"/>
      <c r="Q56" t="s">
        <v>309</v>
      </c>
    </row>
    <row r="57" spans="1:16">
      <c r="A57" s="4" t="s">
        <v>157</v>
      </c>
      <c r="C57" s="69">
        <v>0</v>
      </c>
      <c r="D57" s="69">
        <v>0</v>
      </c>
      <c r="E57" s="69">
        <v>0</v>
      </c>
      <c r="F57" s="69">
        <v>0</v>
      </c>
      <c r="G57" s="69">
        <v>0</v>
      </c>
      <c r="H57" s="69">
        <v>0</v>
      </c>
      <c r="K57" s="104"/>
      <c r="L57" s="104"/>
      <c r="M57" s="104"/>
      <c r="N57" s="104"/>
      <c r="O57" s="104"/>
      <c r="P57" s="104"/>
    </row>
    <row r="58" spans="1:16">
      <c r="A58" s="4" t="s">
        <v>158</v>
      </c>
      <c r="C58" s="69">
        <v>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K58" s="104"/>
      <c r="L58" s="104"/>
      <c r="M58" s="104"/>
      <c r="N58" s="104"/>
      <c r="O58" s="104"/>
      <c r="P58" s="104"/>
    </row>
    <row r="59" spans="1:16">
      <c r="A59" s="4" t="s">
        <v>159</v>
      </c>
      <c r="C59" s="69">
        <v>0</v>
      </c>
      <c r="D59" s="69">
        <v>0</v>
      </c>
      <c r="E59" s="69">
        <v>0</v>
      </c>
      <c r="F59" s="69">
        <v>0</v>
      </c>
      <c r="G59" s="69">
        <v>0</v>
      </c>
      <c r="H59" s="69">
        <v>0</v>
      </c>
      <c r="I59" s="177"/>
      <c r="K59" s="104"/>
      <c r="L59" s="104"/>
      <c r="M59" s="104"/>
      <c r="N59" s="104"/>
      <c r="O59" s="104"/>
      <c r="P59" s="104"/>
    </row>
    <row r="60" spans="1:16">
      <c r="A60" s="4" t="s">
        <v>148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K60" s="104"/>
      <c r="L60" s="104"/>
      <c r="M60" s="104"/>
      <c r="N60" s="104"/>
      <c r="O60" s="104"/>
      <c r="P60" s="104"/>
    </row>
    <row r="61" spans="1:16">
      <c r="A61" s="4" t="s">
        <v>155</v>
      </c>
      <c r="C61" s="69">
        <v>0</v>
      </c>
      <c r="D61" s="69">
        <v>0</v>
      </c>
      <c r="E61" s="69">
        <v>0</v>
      </c>
      <c r="F61" s="69">
        <v>0</v>
      </c>
      <c r="G61" s="69">
        <v>0</v>
      </c>
      <c r="H61" s="69">
        <v>0</v>
      </c>
      <c r="K61" s="104"/>
      <c r="L61" s="104"/>
      <c r="M61" s="104"/>
      <c r="N61" s="104"/>
      <c r="O61" s="104"/>
      <c r="P61" s="104"/>
    </row>
    <row r="62" spans="1:16">
      <c r="A62" s="4" t="s">
        <v>147</v>
      </c>
      <c r="C62" s="18">
        <v>0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K62" s="104"/>
      <c r="L62" s="104"/>
      <c r="M62" s="104"/>
      <c r="N62" s="104"/>
      <c r="O62" s="104"/>
      <c r="P62" s="104"/>
    </row>
    <row r="63" spans="1:16">
      <c r="A63" s="4" t="s">
        <v>146</v>
      </c>
      <c r="C63" s="18">
        <v>0</v>
      </c>
      <c r="D63" s="69">
        <v>0</v>
      </c>
      <c r="E63" s="69">
        <v>0</v>
      </c>
      <c r="F63" s="69">
        <v>0</v>
      </c>
      <c r="G63" s="69">
        <v>0</v>
      </c>
      <c r="H63" s="69">
        <v>0</v>
      </c>
      <c r="I63" s="88"/>
      <c r="K63" s="104"/>
      <c r="L63" s="104"/>
      <c r="M63" s="104"/>
      <c r="N63" s="104"/>
      <c r="O63" s="104"/>
      <c r="P63" s="104"/>
    </row>
    <row r="64" spans="1:16">
      <c r="A64" s="4"/>
      <c r="C64" s="18">
        <v>0</v>
      </c>
      <c r="D64" s="69">
        <v>0</v>
      </c>
      <c r="E64" s="69">
        <v>0</v>
      </c>
      <c r="F64" s="69">
        <v>0</v>
      </c>
      <c r="G64" s="69">
        <v>0</v>
      </c>
      <c r="H64" s="69">
        <v>0</v>
      </c>
      <c r="I64" s="88"/>
      <c r="K64" s="104"/>
      <c r="L64" s="104"/>
      <c r="M64" s="104"/>
      <c r="N64" s="104"/>
      <c r="O64" s="104"/>
      <c r="P64" s="104"/>
    </row>
    <row r="65" spans="1:16">
      <c r="A65" s="4"/>
      <c r="C65" s="18">
        <v>0</v>
      </c>
      <c r="D65" s="69">
        <v>0</v>
      </c>
      <c r="E65" s="69">
        <v>0</v>
      </c>
      <c r="F65" s="69">
        <v>0</v>
      </c>
      <c r="G65" s="69">
        <v>0</v>
      </c>
      <c r="H65" s="69">
        <v>0</v>
      </c>
      <c r="I65" s="88"/>
      <c r="K65" s="104"/>
      <c r="L65" s="104"/>
      <c r="M65" s="104"/>
      <c r="N65" s="104"/>
      <c r="O65" s="104"/>
      <c r="P65" s="104"/>
    </row>
    <row r="66" spans="1:16">
      <c r="A66" s="4"/>
      <c r="C66" s="18">
        <v>0</v>
      </c>
      <c r="D66" s="69">
        <v>0</v>
      </c>
      <c r="E66" s="69">
        <v>0</v>
      </c>
      <c r="F66" s="69">
        <v>0</v>
      </c>
      <c r="G66" s="69">
        <v>0</v>
      </c>
      <c r="H66" s="69">
        <v>0</v>
      </c>
      <c r="I66" s="88"/>
      <c r="K66" s="104"/>
      <c r="L66" s="104"/>
      <c r="M66" s="104"/>
      <c r="N66" s="104"/>
      <c r="O66" s="104"/>
      <c r="P66" s="104"/>
    </row>
    <row r="67" spans="1:16" ht="19.9" customHeight="1">
      <c r="A67" s="4"/>
      <c r="C67" s="18">
        <v>0</v>
      </c>
      <c r="D67" s="69">
        <v>0</v>
      </c>
      <c r="E67" s="69">
        <v>0</v>
      </c>
      <c r="F67" s="69">
        <v>0</v>
      </c>
      <c r="G67" s="69">
        <v>0</v>
      </c>
      <c r="H67" s="69">
        <v>0</v>
      </c>
      <c r="I67" s="88"/>
      <c r="K67" s="104"/>
      <c r="L67" s="104"/>
      <c r="M67" s="104"/>
      <c r="N67" s="104"/>
      <c r="O67" s="104"/>
      <c r="P67" s="104"/>
    </row>
    <row r="68" spans="3:16" ht="19.9" customHeight="1">
      <c r="C68" s="2"/>
      <c r="D68" s="2"/>
      <c r="K68" s="113">
        <f>SUM(K56:K67)</f>
        <v>0</v>
      </c>
      <c r="L68" s="113">
        <f>SUM(L56:L67)</f>
        <v>0</v>
      </c>
      <c r="M68" s="113">
        <f>SUM(M56:M67)</f>
        <v>0</v>
      </c>
      <c r="N68" s="113">
        <f>SUM(N56:N67)</f>
        <v>0</v>
      </c>
      <c r="O68" s="113">
        <f>SUM(O56:O67)</f>
        <v>0</v>
      </c>
      <c r="P68" s="113">
        <f>SUM(P56:P67)</f>
        <v>0</v>
      </c>
    </row>
    <row r="69" spans="3:16" ht="19.9" customHeight="1">
      <c r="C69" s="2"/>
      <c r="D69" s="2"/>
      <c r="L69" s="110"/>
      <c r="M69" s="110"/>
      <c r="N69" s="110"/>
      <c r="O69" s="110"/>
      <c r="P69" s="110"/>
    </row>
    <row r="70" spans="1:4" ht="19.9" customHeight="1">
      <c r="A70" s="38" t="s">
        <v>103</v>
      </c>
      <c r="C70" s="2"/>
      <c r="D70" s="2"/>
    </row>
    <row r="71" spans="1:4" ht="19.9" customHeight="1">
      <c r="A71" t="s">
        <v>162</v>
      </c>
      <c r="C71" s="2"/>
      <c r="D71" s="2"/>
    </row>
    <row r="72" spans="1:8">
      <c r="A72" s="25" t="s">
        <v>104</v>
      </c>
      <c r="C72" s="3" t="s">
        <v>3</v>
      </c>
      <c r="D72" s="3" t="s">
        <v>3</v>
      </c>
      <c r="E72" s="3" t="s">
        <v>3</v>
      </c>
      <c r="F72" s="3" t="s">
        <v>3</v>
      </c>
      <c r="G72" s="3" t="s">
        <v>3</v>
      </c>
      <c r="H72" s="3" t="s">
        <v>3</v>
      </c>
    </row>
    <row r="73" spans="1:8" ht="5.25" customHeight="1">
      <c r="A73" s="25"/>
      <c r="C73" s="3"/>
      <c r="D73" s="3"/>
      <c r="E73" s="3"/>
      <c r="F73" s="3"/>
      <c r="G73" s="3"/>
      <c r="H73" s="3"/>
    </row>
    <row r="74" spans="3:16" s="26" customFormat="1">
      <c r="C74" s="70">
        <v>0</v>
      </c>
      <c r="D74" s="70">
        <v>0</v>
      </c>
      <c r="E74" s="70">
        <v>0</v>
      </c>
      <c r="F74" s="70">
        <v>0</v>
      </c>
      <c r="G74" s="70">
        <v>0</v>
      </c>
      <c r="H74" s="70">
        <v>0</v>
      </c>
      <c r="I74"/>
      <c r="K74" s="104">
        <f>C74</f>
        <v>0</v>
      </c>
      <c r="L74" s="104">
        <f>D74</f>
        <v>0</v>
      </c>
      <c r="M74" s="104">
        <f>E74</f>
        <v>0</v>
      </c>
      <c r="N74" s="104">
        <f>F74</f>
        <v>0</v>
      </c>
      <c r="O74" s="104">
        <f>G74</f>
        <v>0</v>
      </c>
      <c r="P74" s="104">
        <f>H74</f>
        <v>0</v>
      </c>
    </row>
    <row r="75" spans="1:16" s="26" customFormat="1">
      <c r="A75" s="26" t="s">
        <v>110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0">
        <v>0</v>
      </c>
      <c r="I75"/>
      <c r="K75" s="104">
        <f>C75</f>
        <v>0</v>
      </c>
      <c r="L75" s="104">
        <f>D75</f>
        <v>0</v>
      </c>
      <c r="M75" s="104">
        <f>E75</f>
        <v>0</v>
      </c>
      <c r="N75" s="104">
        <f>F75</f>
        <v>0</v>
      </c>
      <c r="O75" s="104">
        <f>G75</f>
        <v>0</v>
      </c>
      <c r="P75" s="104">
        <f>H75</f>
        <v>0</v>
      </c>
    </row>
    <row r="76" spans="1:16" s="26" customFormat="1">
      <c r="A76" s="26" t="s">
        <v>93</v>
      </c>
      <c r="C76" s="70">
        <v>0</v>
      </c>
      <c r="D76" s="70">
        <v>0</v>
      </c>
      <c r="E76" s="70">
        <v>0</v>
      </c>
      <c r="F76" s="70">
        <v>0</v>
      </c>
      <c r="G76" s="70">
        <v>0</v>
      </c>
      <c r="H76" s="70">
        <v>0</v>
      </c>
      <c r="I76"/>
      <c r="K76" s="104">
        <f>C76</f>
        <v>0</v>
      </c>
      <c r="L76" s="104">
        <f>D76</f>
        <v>0</v>
      </c>
      <c r="M76" s="104">
        <f>E76</f>
        <v>0</v>
      </c>
      <c r="N76" s="104">
        <f>F76</f>
        <v>0</v>
      </c>
      <c r="O76" s="104">
        <f>G76</f>
        <v>0</v>
      </c>
      <c r="P76" s="104">
        <f>H76</f>
        <v>0</v>
      </c>
    </row>
    <row r="77" spans="1:16" s="26" customFormat="1">
      <c r="A77" s="76" t="s">
        <v>118</v>
      </c>
      <c r="C77" s="70">
        <v>0</v>
      </c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/>
      <c r="K77" s="104">
        <f>C77</f>
        <v>0</v>
      </c>
      <c r="L77" s="104">
        <f>D77</f>
        <v>0</v>
      </c>
      <c r="M77" s="104">
        <f>E77</f>
        <v>0</v>
      </c>
      <c r="N77" s="104">
        <f>F77</f>
        <v>0</v>
      </c>
      <c r="O77" s="104">
        <f>G77</f>
        <v>0</v>
      </c>
      <c r="P77" s="104">
        <f>H77</f>
        <v>0</v>
      </c>
    </row>
    <row r="78" spans="1:16" s="26" customFormat="1">
      <c r="A78" s="26" t="s">
        <v>60</v>
      </c>
      <c r="C78" s="70">
        <v>0</v>
      </c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/>
      <c r="K78" s="104">
        <f>C78</f>
        <v>0</v>
      </c>
      <c r="L78" s="104">
        <f>D78</f>
        <v>0</v>
      </c>
      <c r="M78" s="104">
        <f>E78</f>
        <v>0</v>
      </c>
      <c r="N78" s="104">
        <f>F78</f>
        <v>0</v>
      </c>
      <c r="O78" s="104">
        <f>G78</f>
        <v>0</v>
      </c>
      <c r="P78" s="104">
        <f>H78</f>
        <v>0</v>
      </c>
    </row>
    <row r="79" spans="1:16">
      <c r="A79" t="s">
        <v>2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K79" s="104">
        <f>C79</f>
        <v>0</v>
      </c>
      <c r="L79" s="104">
        <f>D79</f>
        <v>0</v>
      </c>
      <c r="M79" s="104">
        <f>E79</f>
        <v>0</v>
      </c>
      <c r="N79" s="104">
        <f>F79</f>
        <v>0</v>
      </c>
      <c r="O79" s="104">
        <f>G79</f>
        <v>0</v>
      </c>
      <c r="P79" s="104">
        <f>H79</f>
        <v>0</v>
      </c>
    </row>
    <row r="80" spans="1:11">
      <c r="A80" s="25"/>
      <c r="C80" s="3"/>
      <c r="D80" s="3"/>
      <c r="E80" s="3"/>
      <c r="F80" s="3"/>
      <c r="G80" s="3"/>
      <c r="H80" s="3"/>
      <c r="K80" s="32"/>
    </row>
    <row r="81" spans="1:11">
      <c r="A81" s="25"/>
      <c r="C81" s="3"/>
      <c r="D81" s="3"/>
      <c r="E81" s="3"/>
      <c r="F81" s="3"/>
      <c r="G81" s="3"/>
      <c r="H81" s="3"/>
      <c r="K81" s="32"/>
    </row>
    <row r="82" spans="1:11">
      <c r="A82" s="25" t="s">
        <v>105</v>
      </c>
      <c r="C82" s="3"/>
      <c r="D82" s="3"/>
      <c r="E82" s="3"/>
      <c r="F82" s="3"/>
      <c r="G82" s="3"/>
      <c r="H82" s="3"/>
      <c r="K82" s="32"/>
    </row>
    <row r="83" spans="1:11" ht="5.25" customHeight="1">
      <c r="A83" s="25"/>
      <c r="C83" s="3"/>
      <c r="D83" s="3"/>
      <c r="E83" s="3"/>
      <c r="F83" s="3"/>
      <c r="G83" s="3"/>
      <c r="H83" s="3"/>
      <c r="K83" s="32"/>
    </row>
    <row r="84" spans="1:16">
      <c r="A84" t="s">
        <v>80</v>
      </c>
      <c r="C84" s="70">
        <v>0</v>
      </c>
      <c r="D84" s="70">
        <f>(D15*0.2)*500</f>
        <v>0</v>
      </c>
      <c r="E84" s="70">
        <f>(E15*0.2)*500</f>
        <v>0</v>
      </c>
      <c r="F84" s="70">
        <f>(F15*0.2)*500</f>
        <v>0</v>
      </c>
      <c r="G84" s="70">
        <f>(G15*0.2)*500</f>
        <v>0</v>
      </c>
      <c r="H84" s="70">
        <f>(H15*0.2)*500</f>
        <v>0</v>
      </c>
      <c r="I84" t="s">
        <v>145</v>
      </c>
      <c r="K84" s="104">
        <f>(3000*SUM(C13,C20)+(900*SUM(C10,C12,C17,C19)))</f>
        <v>0</v>
      </c>
      <c r="L84" s="104">
        <f>D84</f>
        <v>0</v>
      </c>
      <c r="M84" s="104">
        <f>E84</f>
        <v>0</v>
      </c>
      <c r="N84" s="104">
        <f>F84</f>
        <v>0</v>
      </c>
      <c r="O84" s="104">
        <f>G84</f>
        <v>0</v>
      </c>
      <c r="P84" s="104">
        <f>H84</f>
        <v>0</v>
      </c>
    </row>
    <row r="85" spans="1:16">
      <c r="A85" t="s">
        <v>165</v>
      </c>
      <c r="C85" s="70">
        <v>0</v>
      </c>
      <c r="D85" s="70">
        <f>(D16*0.2)*500</f>
        <v>0</v>
      </c>
      <c r="E85" s="70">
        <f>(E16*0.2)*500</f>
        <v>0</v>
      </c>
      <c r="F85" s="70">
        <f>(F16*0.2)*500</f>
        <v>0</v>
      </c>
      <c r="G85" s="70">
        <f>(G16*0.2)*500</f>
        <v>0</v>
      </c>
      <c r="H85" s="70">
        <f>(H16*0.2)*500</f>
        <v>0</v>
      </c>
      <c r="K85" s="104">
        <f>(3000*SUM(C14,C21)+(900*SUM(C11,C13,C18,C20)))</f>
        <v>0</v>
      </c>
      <c r="L85" s="104">
        <f>D85</f>
        <v>0</v>
      </c>
      <c r="M85" s="104">
        <f>E85</f>
        <v>0</v>
      </c>
      <c r="N85" s="104">
        <f>F85</f>
        <v>0</v>
      </c>
      <c r="O85" s="104">
        <f>G85</f>
        <v>0</v>
      </c>
      <c r="P85" s="104">
        <f>H85</f>
        <v>0</v>
      </c>
    </row>
    <row r="86" spans="1:16">
      <c r="A86" s="178" t="s">
        <v>166</v>
      </c>
      <c r="C86" s="70">
        <v>0</v>
      </c>
      <c r="D86" s="70">
        <f>(D17*0.2)*500</f>
        <v>0</v>
      </c>
      <c r="E86" s="70">
        <f>(E17*0.2)*500</f>
        <v>0</v>
      </c>
      <c r="F86" s="70">
        <f>(F17*0.2)*500</f>
        <v>0</v>
      </c>
      <c r="G86" s="70">
        <f>(G17*0.2)*500</f>
        <v>0</v>
      </c>
      <c r="H86" s="70">
        <f>(H17*0.2)*500</f>
        <v>0</v>
      </c>
      <c r="K86" s="104">
        <f>(3000*SUM(C15,C22)+(900*SUM(C12,C14,C19,C21)))</f>
        <v>0</v>
      </c>
      <c r="L86" s="104">
        <f>D86</f>
        <v>0</v>
      </c>
      <c r="M86" s="104">
        <f>E86</f>
        <v>0</v>
      </c>
      <c r="N86" s="104">
        <f>F86</f>
        <v>0</v>
      </c>
      <c r="O86" s="104">
        <f>G86</f>
        <v>0</v>
      </c>
      <c r="P86" s="104">
        <f>H86</f>
        <v>0</v>
      </c>
    </row>
    <row r="87" spans="1:16">
      <c r="A87" s="178" t="s">
        <v>311</v>
      </c>
      <c r="C87" s="70">
        <v>1</v>
      </c>
      <c r="D87" s="70">
        <f>(D18*0.2)*500</f>
        <v>0</v>
      </c>
      <c r="E87" s="70">
        <f>(E18*0.2)*500</f>
        <v>0</v>
      </c>
      <c r="F87" s="70">
        <f>(F18*0.2)*500</f>
        <v>0</v>
      </c>
      <c r="G87" s="70">
        <f>(G18*0.2)*500</f>
        <v>0</v>
      </c>
      <c r="H87" s="70">
        <f>(H18*0.2)*500</f>
        <v>0</v>
      </c>
      <c r="K87" s="104">
        <f>(3000*SUM(C16,C23)+(900*SUM(C13,C15,C20,C22)))</f>
        <v>0</v>
      </c>
      <c r="L87" s="104">
        <f>D87</f>
        <v>0</v>
      </c>
      <c r="M87" s="104">
        <f>E87</f>
        <v>0</v>
      </c>
      <c r="N87" s="104">
        <f>F87</f>
        <v>0</v>
      </c>
      <c r="O87" s="104">
        <f>G87</f>
        <v>0</v>
      </c>
      <c r="P87" s="104">
        <f>H87</f>
        <v>0</v>
      </c>
    </row>
    <row r="88" spans="1:16">
      <c r="A88" t="s">
        <v>69</v>
      </c>
      <c r="C88" s="67">
        <v>0</v>
      </c>
      <c r="D88" s="67">
        <v>0</v>
      </c>
      <c r="E88" s="67">
        <v>0</v>
      </c>
      <c r="F88" s="67">
        <v>0</v>
      </c>
      <c r="G88" s="67">
        <v>0</v>
      </c>
      <c r="H88" s="67">
        <v>0</v>
      </c>
      <c r="K88" s="104">
        <f>C88</f>
        <v>0</v>
      </c>
      <c r="L88" s="104">
        <f>D88</f>
        <v>0</v>
      </c>
      <c r="M88" s="104">
        <f>E88</f>
        <v>0</v>
      </c>
      <c r="N88" s="104">
        <f>F88</f>
        <v>0</v>
      </c>
      <c r="O88" s="104">
        <f>G88</f>
        <v>0</v>
      </c>
      <c r="P88" s="104">
        <f>H88</f>
        <v>0</v>
      </c>
    </row>
    <row r="89" spans="1:16" s="26" customFormat="1">
      <c r="A89" s="26" t="s">
        <v>97</v>
      </c>
      <c r="C89" s="70">
        <f>(K49*0.1)/2</f>
        <v>0</v>
      </c>
      <c r="D89" s="70">
        <v>0</v>
      </c>
      <c r="E89" s="70">
        <v>0</v>
      </c>
      <c r="F89" s="70">
        <v>0</v>
      </c>
      <c r="G89" s="70">
        <v>0</v>
      </c>
      <c r="H89" s="70">
        <v>0</v>
      </c>
      <c r="I89"/>
      <c r="K89" s="104">
        <f>C89</f>
        <v>0</v>
      </c>
      <c r="L89" s="104">
        <f>D89</f>
        <v>0</v>
      </c>
      <c r="M89" s="104">
        <f>E89</f>
        <v>0</v>
      </c>
      <c r="N89" s="104">
        <f>F89</f>
        <v>0</v>
      </c>
      <c r="O89" s="104">
        <f>G89</f>
        <v>0</v>
      </c>
      <c r="P89" s="104">
        <f>H89</f>
        <v>0</v>
      </c>
    </row>
    <row r="90" spans="1:16" s="26" customFormat="1">
      <c r="A90" s="26" t="s">
        <v>163</v>
      </c>
      <c r="C90" s="70">
        <f>(K50*0.1)/2</f>
        <v>0</v>
      </c>
      <c r="D90" s="70">
        <v>0</v>
      </c>
      <c r="E90" s="70">
        <v>0</v>
      </c>
      <c r="F90" s="70">
        <v>0</v>
      </c>
      <c r="G90" s="70">
        <v>0</v>
      </c>
      <c r="H90" s="70">
        <v>0</v>
      </c>
      <c r="I90"/>
      <c r="K90" s="104">
        <f>C90</f>
        <v>0</v>
      </c>
      <c r="L90" s="104">
        <f>D90</f>
        <v>0</v>
      </c>
      <c r="M90" s="104">
        <f>E90</f>
        <v>0</v>
      </c>
      <c r="N90" s="104">
        <f>F90</f>
        <v>0</v>
      </c>
      <c r="O90" s="104">
        <f>G90</f>
        <v>0</v>
      </c>
      <c r="P90" s="104">
        <f>H90</f>
        <v>0</v>
      </c>
    </row>
    <row r="91" spans="3:16" s="26" customFormat="1">
      <c r="C91" s="70">
        <f>(K51*0.1)/2</f>
        <v>0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  <c r="I91"/>
      <c r="K91" s="104">
        <f>C91</f>
        <v>0</v>
      </c>
      <c r="L91" s="104">
        <f>D91</f>
        <v>0</v>
      </c>
      <c r="M91" s="104">
        <f>E91</f>
        <v>0</v>
      </c>
      <c r="N91" s="104">
        <f>F91</f>
        <v>0</v>
      </c>
      <c r="O91" s="104">
        <f>G91</f>
        <v>0</v>
      </c>
      <c r="P91" s="104">
        <f>H91</f>
        <v>0</v>
      </c>
    </row>
    <row r="92" spans="1:16">
      <c r="A92" t="s">
        <v>34</v>
      </c>
      <c r="C92" s="67">
        <v>0</v>
      </c>
      <c r="D92" s="67">
        <v>0</v>
      </c>
      <c r="E92" s="67">
        <v>0</v>
      </c>
      <c r="F92" s="67">
        <v>0</v>
      </c>
      <c r="G92" s="67">
        <v>0</v>
      </c>
      <c r="H92" s="67">
        <v>0</v>
      </c>
      <c r="K92" s="104">
        <f>C92</f>
        <v>0</v>
      </c>
      <c r="L92" s="104">
        <f>D92</f>
        <v>0</v>
      </c>
      <c r="M92" s="104">
        <f>E92</f>
        <v>0</v>
      </c>
      <c r="N92" s="104">
        <f>F92</f>
        <v>0</v>
      </c>
      <c r="O92" s="104">
        <f>G92</f>
        <v>0</v>
      </c>
      <c r="P92" s="104">
        <f>H92</f>
        <v>0</v>
      </c>
    </row>
    <row r="93" spans="11:11" ht="19.9" customHeight="1">
      <c r="K93" s="32"/>
    </row>
    <row r="94" spans="11:16" ht="19.9" customHeight="1">
      <c r="K94" s="113">
        <f>SUM(K74:K93)</f>
        <v>0</v>
      </c>
      <c r="L94" s="113">
        <f>SUM(L74:L93)</f>
        <v>0</v>
      </c>
      <c r="M94" s="113">
        <f>SUM(M74:M93)</f>
        <v>0</v>
      </c>
      <c r="N94" s="113">
        <f>SUM(N74:N93)</f>
        <v>0</v>
      </c>
      <c r="O94" s="113">
        <f>SUM(O74:O93)</f>
        <v>0</v>
      </c>
      <c r="P94" s="113">
        <f>SUM(P74:P93)</f>
        <v>0</v>
      </c>
    </row>
    <row r="95" spans="11:11" ht="19.9" customHeight="1">
      <c r="K95" s="32"/>
    </row>
    <row r="96" spans="10:16" ht="19.9" customHeight="1" thickBot="1">
      <c r="J96" s="111" t="s">
        <v>107</v>
      </c>
      <c r="K96" s="105">
        <f>K94+K68</f>
        <v>0</v>
      </c>
      <c r="L96" s="105">
        <f>L94+L68</f>
        <v>0</v>
      </c>
      <c r="M96" s="105">
        <f>M94+M68</f>
        <v>0</v>
      </c>
      <c r="N96" s="105">
        <f>N94+N68</f>
        <v>0</v>
      </c>
      <c r="O96" s="105">
        <f>O94+O68</f>
        <v>0</v>
      </c>
      <c r="P96" s="105">
        <f>P94+P68</f>
        <v>0</v>
      </c>
    </row>
    <row r="97" spans="10:16" ht="15.75" thickTop="1">
      <c r="J97" s="111"/>
      <c r="K97" s="117"/>
      <c r="L97" s="117"/>
      <c r="M97" s="117"/>
      <c r="N97" s="117"/>
      <c r="O97" s="117"/>
      <c r="P97" s="117"/>
    </row>
    <row r="98" spans="10:16" ht="15.75" thickBot="1">
      <c r="J98" s="111" t="s">
        <v>108</v>
      </c>
      <c r="K98" s="128">
        <f>K49-K96</f>
        <v>0</v>
      </c>
      <c r="L98" s="128">
        <f>L49-L96</f>
        <v>0</v>
      </c>
      <c r="M98" s="128">
        <f>M49-M96</f>
        <v>0</v>
      </c>
      <c r="N98" s="128">
        <f>N49-N96</f>
        <v>0</v>
      </c>
      <c r="O98" s="128">
        <f>O49-O96</f>
        <v>0</v>
      </c>
      <c r="P98" s="128">
        <f>P49-P96</f>
        <v>0</v>
      </c>
    </row>
    <row r="99" spans="11:16" ht="15.75" thickTop="1">
      <c r="K99" s="32">
        <f>K98-'Worse Summary'!D41</f>
        <v>0</v>
      </c>
      <c r="L99" s="32">
        <f>L98-'Worse Summary'!E41</f>
        <v>0</v>
      </c>
      <c r="M99" s="32">
        <f>M98-'Worse Summary'!F41</f>
        <v>0</v>
      </c>
      <c r="N99" s="32">
        <f>N98-'Worse Summary'!G41</f>
        <v>0</v>
      </c>
      <c r="O99" s="32">
        <f>O98-'Worse Summary'!H41</f>
        <v>0</v>
      </c>
      <c r="P99" s="32">
        <f>P98-'Worse Summary'!I41</f>
        <v>0</v>
      </c>
    </row>
  </sheetData>
  <mergeCells count="3">
    <mergeCell ref="K8:P8"/>
    <mergeCell ref="K31:P31"/>
    <mergeCell ref="K53:P53"/>
  </mergeCells>
  <conditionalFormatting sqref="K76:P79 K84:P84 K88:P92">
    <cfRule type="cellIs" dxfId="14" priority="11" operator="equal">
      <formula>0</formula>
    </cfRule>
  </conditionalFormatting>
  <conditionalFormatting sqref="K74:P75">
    <cfRule type="cellIs" dxfId="13" priority="10" operator="equal">
      <formula>0</formula>
    </cfRule>
  </conditionalFormatting>
  <conditionalFormatting sqref="K60:P61 K62">
    <cfRule type="cellIs" dxfId="12" priority="9" operator="equal">
      <formula>0</formula>
    </cfRule>
  </conditionalFormatting>
  <conditionalFormatting sqref="K63:P67 K59">
    <cfRule type="cellIs" dxfId="11" priority="8" operator="equal">
      <formula>0</formula>
    </cfRule>
  </conditionalFormatting>
  <conditionalFormatting sqref="K56:P56">
    <cfRule type="cellIs" dxfId="10" priority="7" operator="equal">
      <formula>0</formula>
    </cfRule>
  </conditionalFormatting>
  <conditionalFormatting sqref="K58">
    <cfRule type="cellIs" dxfId="9" priority="6" operator="equal">
      <formula>0</formula>
    </cfRule>
  </conditionalFormatting>
  <conditionalFormatting sqref="L58:P58">
    <cfRule type="cellIs" dxfId="8" priority="5" operator="equal">
      <formula>0</formula>
    </cfRule>
  </conditionalFormatting>
  <conditionalFormatting sqref="K57:P57">
    <cfRule type="cellIs" dxfId="7" priority="4" operator="equal">
      <formula>0</formula>
    </cfRule>
  </conditionalFormatting>
  <conditionalFormatting sqref="L62:P62">
    <cfRule type="cellIs" dxfId="6" priority="3" operator="equal">
      <formula>0</formula>
    </cfRule>
  </conditionalFormatting>
  <conditionalFormatting sqref="L59:P59">
    <cfRule type="cellIs" dxfId="5" priority="2" operator="equal">
      <formula>0</formula>
    </cfRule>
  </conditionalFormatting>
  <conditionalFormatting sqref="K85:P87">
    <cfRule type="cellIs" dxfId="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51" fitToHeight="2" orientation="portrait"/>
  <headerFooter scaleWithDoc="1" alignWithMargins="1" differentFirst="0" differentOddEven="0">
    <oddHeader>&amp;R&amp;A</oddHeader>
    <oddFooter>&amp;L&amp;Z&amp;F&amp;R&amp;D</oddFooter>
  </headerFooter>
  <rowBreaks count="1" manualBreakCount="1">
    <brk id="100" max="13" man="1"/>
  </rowBreaks>
  <extLst/>
</worksheet>
</file>

<file path=xl/worksheets/sheet9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N41"/>
  <sheetViews>
    <sheetView topLeftCell="A11" view="normal" workbookViewId="0">
      <selection pane="topLeft" activeCell="A2" sqref="A2:XFD10"/>
    </sheetView>
  </sheetViews>
  <sheetFormatPr defaultRowHeight="12.75"/>
  <cols>
    <col min="1" max="1" width="11.625" style="313" customWidth="1"/>
    <col min="2" max="2" width="9.125" style="313" customWidth="1"/>
    <col min="3" max="3" width="9.75390625" style="313" bestFit="1" customWidth="1"/>
    <col min="4" max="10" width="9.125" style="313" customWidth="1"/>
    <col min="11" max="11" width="9.875" style="313" bestFit="1" customWidth="1"/>
    <col min="12" max="12" width="10.125" style="313" bestFit="1" customWidth="1"/>
    <col min="13" max="14" width="9.25390625" style="313" bestFit="1" customWidth="1"/>
    <col min="15" max="16384" width="9.125" style="313" customWidth="1"/>
  </cols>
  <sheetData>
    <row r="1" spans="5:14" hidden="1">
      <c r="E1" s="314"/>
      <c r="G1" s="314" t="s">
        <v>167</v>
      </c>
      <c r="H1" s="314"/>
      <c r="K1" s="315" t="s">
        <v>168</v>
      </c>
      <c r="L1" s="316">
        <v>6136</v>
      </c>
      <c r="M1" s="317" t="s">
        <v>169</v>
      </c>
      <c r="N1" s="318"/>
    </row>
    <row r="2" spans="5:14" hidden="1">
      <c r="E2" s="320"/>
      <c r="G2" s="319">
        <v>0.211</v>
      </c>
      <c r="H2" s="320"/>
      <c r="K2" s="315" t="s">
        <v>170</v>
      </c>
      <c r="L2" s="316">
        <v>50000</v>
      </c>
      <c r="M2" s="321"/>
      <c r="N2" s="322"/>
    </row>
    <row r="3" spans="11:14" hidden="1">
      <c r="K3" s="315" t="s">
        <v>171</v>
      </c>
      <c r="L3" s="316">
        <v>8632</v>
      </c>
      <c r="M3" s="321" t="s">
        <v>172</v>
      </c>
      <c r="N3" s="323">
        <v>0</v>
      </c>
    </row>
    <row r="4" spans="11:14" hidden="1">
      <c r="K4" s="324" t="s">
        <v>174</v>
      </c>
      <c r="L4" s="325">
        <v>8632</v>
      </c>
      <c r="M4" s="326" t="s">
        <v>175</v>
      </c>
      <c r="N4" s="327">
        <v>0.138</v>
      </c>
    </row>
    <row r="5" spans="11:14" hidden="1">
      <c r="K5" s="315" t="s">
        <v>176</v>
      </c>
      <c r="L5" s="316">
        <v>50000</v>
      </c>
      <c r="M5" s="328" t="s">
        <v>177</v>
      </c>
      <c r="N5" s="329">
        <v>0.138</v>
      </c>
    </row>
    <row r="6" spans="1:1" hidden="1">
      <c r="A6"/>
    </row>
    <row r="7" spans="1:1" hidden="1">
      <c r="A7"/>
    </row>
    <row r="8" spans="1:1" hidden="1">
      <c r="A8"/>
    </row>
    <row r="9" spans="1:1" hidden="1">
      <c r="A9"/>
    </row>
    <row r="10" spans="1:1" hidden="1">
      <c r="A10"/>
    </row>
    <row r="11" spans="2:11" ht="21" thickBot="1">
      <c r="B11" s="330" t="s">
        <v>314</v>
      </c>
      <c r="C11" s="331"/>
      <c r="D11" s="331"/>
      <c r="E11" s="331"/>
      <c r="F11" s="331"/>
      <c r="G11" s="331"/>
      <c r="H11" s="331"/>
      <c r="I11" s="331"/>
      <c r="J11" s="331"/>
      <c r="K11" s="331"/>
    </row>
    <row r="12" spans="1:14" ht="38.25">
      <c r="A12" s="334" t="s">
        <v>178</v>
      </c>
      <c r="B12" s="335" t="s">
        <v>179</v>
      </c>
      <c r="C12" s="336" t="s">
        <v>180</v>
      </c>
      <c r="D12" s="336" t="s">
        <v>181</v>
      </c>
      <c r="E12" s="336" t="s">
        <v>182</v>
      </c>
      <c r="F12" s="337" t="s">
        <v>183</v>
      </c>
      <c r="G12" s="338"/>
      <c r="H12" s="338"/>
      <c r="I12" s="339"/>
      <c r="J12" s="336" t="s">
        <v>184</v>
      </c>
      <c r="K12" s="336" t="s">
        <v>185</v>
      </c>
      <c r="L12" s="336" t="s">
        <v>186</v>
      </c>
      <c r="M12" s="336" t="s">
        <v>187</v>
      </c>
      <c r="N12" s="340" t="s">
        <v>188</v>
      </c>
    </row>
    <row r="13" spans="1:14" ht="13.5" thickBot="1">
      <c r="A13" s="355"/>
      <c r="B13" s="342"/>
      <c r="C13" s="343"/>
      <c r="D13" s="343"/>
      <c r="E13" s="343"/>
      <c r="F13" s="343" t="s">
        <v>189</v>
      </c>
      <c r="G13" s="343" t="s">
        <v>190</v>
      </c>
      <c r="H13" s="356" t="s">
        <v>191</v>
      </c>
      <c r="I13" s="343" t="s">
        <v>182</v>
      </c>
      <c r="J13" s="343"/>
      <c r="K13" s="343">
        <v>12</v>
      </c>
      <c r="L13" s="343">
        <v>220</v>
      </c>
      <c r="M13" s="343">
        <v>44</v>
      </c>
      <c r="N13" s="345">
        <v>1650</v>
      </c>
    </row>
    <row r="14" spans="1:14">
      <c r="A14" s="357" t="s">
        <v>315</v>
      </c>
      <c r="B14" s="347">
        <v>53</v>
      </c>
      <c r="C14" s="358">
        <v>66537</v>
      </c>
      <c r="D14" s="349">
        <v>3147</v>
      </c>
      <c r="E14" s="349">
        <f>C14+D14</f>
        <v>69684</v>
      </c>
      <c r="F14" s="349">
        <f>ROUND(E14*$G$2,0)</f>
        <v>14703</v>
      </c>
      <c r="G14" s="349">
        <f>IF(E14&gt;$L$5,$N$5*(E14-$L$5)+$N$4*($L$5-$L$4)+$N$3*($L$4-$L$1),IF($L$5&gt;E14&gt;$L$4,$N$4*(E14-$L$4)+$N$3*($L$4-$L$1),0))</f>
        <v>8425.1760000000013</v>
      </c>
      <c r="H14" s="349">
        <f>E14/100*0.5</f>
        <v>348.42</v>
      </c>
      <c r="I14" s="349">
        <f>F14+G14+H14</f>
        <v>23476.595999999998</v>
      </c>
      <c r="J14" s="349">
        <f>I14+E14</f>
        <v>93160.59599999999</v>
      </c>
      <c r="K14" s="350">
        <f>J14/$K$13</f>
        <v>7763.3829999999989</v>
      </c>
      <c r="L14" s="350">
        <f>J14/$L$13</f>
        <v>423.45725454545448</v>
      </c>
      <c r="M14" s="350">
        <f>J14/$M$13</f>
        <v>2117.2862727272727</v>
      </c>
      <c r="N14" s="351">
        <f>J14/$N$13</f>
        <v>56.460967272727267</v>
      </c>
    </row>
    <row r="15" spans="1:14">
      <c r="A15" s="357"/>
      <c r="B15" s="347">
        <v>54</v>
      </c>
      <c r="C15" s="358">
        <v>68529</v>
      </c>
      <c r="D15" s="349">
        <v>3147</v>
      </c>
      <c r="E15" s="349">
        <f>C15+D15</f>
        <v>71676</v>
      </c>
      <c r="F15" s="349">
        <f>ROUND(E15*$G$2,0)</f>
        <v>15124</v>
      </c>
      <c r="G15" s="349">
        <f>IF(E15&gt;$L$5,$N$5*(E15-$L$5)+$N$4*($L$5-$L$4)+$N$3*($L$4-$L$1),IF($L$5&gt;E15&gt;$L$4,$N$4*(E15-$L$4)+$N$3*($L$4-$L$1),0))</f>
        <v>8700.072</v>
      </c>
      <c r="H15" s="349">
        <f>E15/100*0.5</f>
        <v>358.38</v>
      </c>
      <c r="I15" s="349">
        <f>F15+G15+H15</f>
        <v>24182.452</v>
      </c>
      <c r="J15" s="349">
        <f>I15+E15</f>
        <v>95858.452</v>
      </c>
      <c r="K15" s="350">
        <f>J15/$K$13</f>
        <v>7988.204333333334</v>
      </c>
      <c r="L15" s="350">
        <f>J15/$L$13</f>
        <v>435.72023636363639</v>
      </c>
      <c r="M15" s="350">
        <f>J15/$M$13</f>
        <v>2178.6011818181819</v>
      </c>
      <c r="N15" s="351">
        <f>J15/$N$13</f>
        <v>58.096031515151516</v>
      </c>
    </row>
    <row r="16" spans="1:14">
      <c r="A16" s="357"/>
      <c r="B16" s="347">
        <v>55</v>
      </c>
      <c r="C16" s="358">
        <v>70580</v>
      </c>
      <c r="D16" s="349">
        <v>3147</v>
      </c>
      <c r="E16" s="349">
        <f>C16+D16</f>
        <v>73727</v>
      </c>
      <c r="F16" s="349">
        <f>ROUND(E16*$G$2,0)</f>
        <v>15556</v>
      </c>
      <c r="G16" s="349">
        <f>IF(E16&gt;$L$5,$N$5*(E16-$L$5)+$N$4*($L$5-$L$4)+$N$3*($L$4-$L$1),IF($L$5&gt;E16&gt;$L$4,$N$4*(E16-$L$4)+$N$3*($L$4-$L$1),0))</f>
        <v>8983.11</v>
      </c>
      <c r="H16" s="349">
        <f>E16/100*0.5</f>
        <v>368.635</v>
      </c>
      <c r="I16" s="349">
        <f>F16+G16+H16</f>
        <v>24907.745</v>
      </c>
      <c r="J16" s="349">
        <f>I16+E16</f>
        <v>98634.745</v>
      </c>
      <c r="K16" s="350">
        <f>J16/$K$13</f>
        <v>8219.5620833333323</v>
      </c>
      <c r="L16" s="350">
        <f>J16/$L$13</f>
        <v>448.33975</v>
      </c>
      <c r="M16" s="350">
        <f>J16/$M$13</f>
        <v>2241.69875</v>
      </c>
      <c r="N16" s="351">
        <f>J16/$N$13</f>
        <v>59.778633333333332</v>
      </c>
    </row>
    <row r="17" spans="1:14">
      <c r="A17" s="357"/>
      <c r="B17" s="347">
        <v>56</v>
      </c>
      <c r="C17" s="358">
        <v>72691</v>
      </c>
      <c r="D17" s="349">
        <v>3147</v>
      </c>
      <c r="E17" s="349">
        <f>C17+D17</f>
        <v>75838</v>
      </c>
      <c r="F17" s="349">
        <f>ROUND(E17*$G$2,0)</f>
        <v>16002</v>
      </c>
      <c r="G17" s="349">
        <f>IF(E17&gt;$L$5,$N$5*(E17-$L$5)+$N$4*($L$5-$L$4)+$N$3*($L$4-$L$1),IF($L$5&gt;E17&gt;$L$4,$N$4*(E17-$L$4)+$N$3*($L$4-$L$1),0))</f>
        <v>9274.428</v>
      </c>
      <c r="H17" s="349">
        <f>E17/100*0.5</f>
        <v>379.19</v>
      </c>
      <c r="I17" s="349">
        <f>F17+G17+H17</f>
        <v>25655.618</v>
      </c>
      <c r="J17" s="349">
        <f>I17+E17</f>
        <v>101493.618</v>
      </c>
      <c r="K17" s="350">
        <f>J17/$K$13</f>
        <v>8457.8015</v>
      </c>
      <c r="L17" s="350">
        <f>J17/$L$13</f>
        <v>461.33462727272729</v>
      </c>
      <c r="M17" s="350">
        <f>J17/$M$13</f>
        <v>2306.6731363636363</v>
      </c>
      <c r="N17" s="351">
        <f>J17/$N$13</f>
        <v>61.511283636363636</v>
      </c>
    </row>
    <row r="18" spans="1:14">
      <c r="A18" s="357"/>
      <c r="B18" s="347">
        <v>57</v>
      </c>
      <c r="C18" s="358">
        <v>74868</v>
      </c>
      <c r="D18" s="349">
        <v>3147</v>
      </c>
      <c r="E18" s="349">
        <f>C18+D18</f>
        <v>78015</v>
      </c>
      <c r="F18" s="349">
        <f>ROUND(E18*$G$2,0)</f>
        <v>16461</v>
      </c>
      <c r="G18" s="349">
        <f>IF(E18&gt;$L$5,$N$5*(E18-$L$5)+$N$4*($L$5-$L$4)+$N$3*($L$4-$L$1),IF($L$5&gt;E18&gt;$L$4,$N$4*(E18-$L$4)+$N$3*($L$4-$L$1),0))</f>
        <v>9574.8540000000012</v>
      </c>
      <c r="H18" s="349">
        <f>E18/100*0.5</f>
        <v>390.075</v>
      </c>
      <c r="I18" s="349">
        <f>F18+G18+H18</f>
        <v>26425.929</v>
      </c>
      <c r="J18" s="349">
        <f>I18+E18</f>
        <v>104440.929</v>
      </c>
      <c r="K18" s="350">
        <f>J18/$K$13</f>
        <v>8703.4107500000009</v>
      </c>
      <c r="L18" s="350">
        <f>J18/$L$13</f>
        <v>474.7314954545455</v>
      </c>
      <c r="M18" s="350">
        <f>J18/$M$13</f>
        <v>2373.6574772727272</v>
      </c>
      <c r="N18" s="351">
        <f>J18/$N$13</f>
        <v>63.297532727272731</v>
      </c>
    </row>
    <row r="19" spans="1:14">
      <c r="A19" s="357"/>
      <c r="B19" s="347">
        <v>58</v>
      </c>
      <c r="C19" s="358">
        <v>77108</v>
      </c>
      <c r="D19" s="349">
        <v>3147</v>
      </c>
      <c r="E19" s="349">
        <f>C19+D19</f>
        <v>80255</v>
      </c>
      <c r="F19" s="349">
        <f>ROUND(E19*$G$2,0)</f>
        <v>16934</v>
      </c>
      <c r="G19" s="349">
        <f>IF(E19&gt;$L$5,$N$5*(E19-$L$5)+$N$4*($L$5-$L$4)+$N$3*($L$4-$L$1),IF($L$5&gt;E19&gt;$L$4,$N$4*(E19-$L$4)+$N$3*($L$4-$L$1),0))</f>
        <v>9883.974000000002</v>
      </c>
      <c r="H19" s="349">
        <f>E19/100*0.5</f>
        <v>401.275</v>
      </c>
      <c r="I19" s="349">
        <f>F19+G19+H19</f>
        <v>27219.249000000003</v>
      </c>
      <c r="J19" s="349">
        <f>I19+E19</f>
        <v>107474.24900000001</v>
      </c>
      <c r="K19" s="350">
        <f>J19/$K$13</f>
        <v>8956.1874166666676</v>
      </c>
      <c r="L19" s="350">
        <f>J19/$L$13</f>
        <v>488.51931363636368</v>
      </c>
      <c r="M19" s="350">
        <f>J19/$M$13</f>
        <v>2442.5965681818184</v>
      </c>
      <c r="N19" s="351">
        <f>J19/$N$13</f>
        <v>65.135908484848486</v>
      </c>
    </row>
    <row r="20" spans="1:14">
      <c r="A20" s="357"/>
      <c r="B20" s="347">
        <v>59</v>
      </c>
      <c r="C20" s="358">
        <v>79417</v>
      </c>
      <c r="D20" s="349">
        <v>3147</v>
      </c>
      <c r="E20" s="349">
        <f>C20+D20</f>
        <v>82564</v>
      </c>
      <c r="F20" s="349">
        <f>ROUND(E20*$G$2,0)</f>
        <v>17421</v>
      </c>
      <c r="G20" s="349">
        <f>IF(E20&gt;$L$5,$N$5*(E20-$L$5)+$N$4*($L$5-$L$4)+$N$3*($L$4-$L$1),IF($L$5&gt;E20&gt;$L$4,$N$4*(E20-$L$4)+$N$3*($L$4-$L$1),0))</f>
        <v>10202.616000000002</v>
      </c>
      <c r="H20" s="349">
        <f>E20/100*0.5</f>
        <v>412.82</v>
      </c>
      <c r="I20" s="349">
        <f>F20+G20+H20</f>
        <v>28036.436</v>
      </c>
      <c r="J20" s="349">
        <f>I20+E20</f>
        <v>110600.436</v>
      </c>
      <c r="K20" s="350">
        <f>J20/$K$13</f>
        <v>9216.703</v>
      </c>
      <c r="L20" s="350">
        <f>J20/$L$13</f>
        <v>502.72925454545458</v>
      </c>
      <c r="M20" s="350">
        <f>J20/$M$13</f>
        <v>2513.6462727272728</v>
      </c>
      <c r="N20" s="351">
        <f>J20/$N$13</f>
        <v>67.030567272727268</v>
      </c>
    </row>
    <row r="21" spans="1:14">
      <c r="A21" s="357"/>
      <c r="B21" s="347">
        <v>60</v>
      </c>
      <c r="C21" s="358">
        <v>81795</v>
      </c>
      <c r="D21" s="349">
        <v>3147</v>
      </c>
      <c r="E21" s="349">
        <f>C21+D21</f>
        <v>84942</v>
      </c>
      <c r="F21" s="349">
        <f>ROUND(E21*$G$2,0)</f>
        <v>17923</v>
      </c>
      <c r="G21" s="349">
        <f>IF(E21&gt;$L$5,$N$5*(E21-$L$5)+$N$4*($L$5-$L$4)+$N$3*($L$4-$L$1),IF($L$5&gt;E21&gt;$L$4,$N$4*(E21-$L$4)+$N$3*($L$4-$L$1),0))</f>
        <v>10530.78</v>
      </c>
      <c r="H21" s="349">
        <f>E21/100*0.5</f>
        <v>424.71</v>
      </c>
      <c r="I21" s="349">
        <f>F21+G21+H21</f>
        <v>28878.489999999998</v>
      </c>
      <c r="J21" s="349">
        <f>I21+E21</f>
        <v>113820.48999999999</v>
      </c>
      <c r="K21" s="350">
        <f>J21/$K$13</f>
        <v>9485.0408333333326</v>
      </c>
      <c r="L21" s="350">
        <f>J21/$L$13</f>
        <v>517.36586363636354</v>
      </c>
      <c r="M21" s="350">
        <f>J21/$M$13</f>
        <v>2586.8293181818181</v>
      </c>
      <c r="N21" s="351">
        <f>J21/$N$13</f>
        <v>68.982115151515146</v>
      </c>
    </row>
    <row r="22" spans="1:14">
      <c r="A22" s="357"/>
      <c r="B22" s="347">
        <v>61</v>
      </c>
      <c r="C22" s="358">
        <v>84243</v>
      </c>
      <c r="D22" s="349">
        <v>3147</v>
      </c>
      <c r="E22" s="349">
        <f>C22+D22</f>
        <v>87390</v>
      </c>
      <c r="F22" s="349">
        <f>ROUND(E22*$G$2,0)</f>
        <v>18439</v>
      </c>
      <c r="G22" s="349">
        <f>IF(E22&gt;$L$5,$N$5*(E22-$L$5)+$N$4*($L$5-$L$4)+$N$3*($L$4-$L$1),IF($L$5&gt;E22&gt;$L$4,$N$4*(E22-$L$4)+$N$3*($L$4-$L$1),0))</f>
        <v>10868.604000000001</v>
      </c>
      <c r="H22" s="349">
        <f>E22/100*0.5</f>
        <v>436.95</v>
      </c>
      <c r="I22" s="349">
        <f>F22+G22+H22</f>
        <v>29744.554</v>
      </c>
      <c r="J22" s="349">
        <f>I22+E22</f>
        <v>117134.554</v>
      </c>
      <c r="K22" s="350">
        <f>J22/$K$13</f>
        <v>9761.212833333333</v>
      </c>
      <c r="L22" s="350">
        <f>J22/$L$13</f>
        <v>532.42979090909091</v>
      </c>
      <c r="M22" s="350">
        <f>J22/$M$13</f>
        <v>2662.1489545454547</v>
      </c>
      <c r="N22" s="351">
        <f>J22/$N$13</f>
        <v>70.9906387878788</v>
      </c>
    </row>
    <row r="23" spans="1:14">
      <c r="A23" s="357"/>
      <c r="B23" s="347">
        <v>62</v>
      </c>
      <c r="C23" s="358">
        <v>86765</v>
      </c>
      <c r="D23" s="349">
        <v>3147</v>
      </c>
      <c r="E23" s="349">
        <f>C23+D23</f>
        <v>89912</v>
      </c>
      <c r="F23" s="349">
        <f>ROUND(E23*$G$2,0)</f>
        <v>18971</v>
      </c>
      <c r="G23" s="349">
        <f>IF(E23&gt;$L$5,$N$5*(E23-$L$5)+$N$4*($L$5-$L$4)+$N$3*($L$4-$L$1),IF($L$5&gt;E23&gt;$L$4,$N$4*(E23-$L$4)+$N$3*($L$4-$L$1),0))</f>
        <v>11216.640000000001</v>
      </c>
      <c r="H23" s="349">
        <f>E23/100*0.5</f>
        <v>449.56</v>
      </c>
      <c r="I23" s="349">
        <f>F23+G23+H23</f>
        <v>30637.2</v>
      </c>
      <c r="J23" s="349">
        <f>I23+E23</f>
        <v>120549.2</v>
      </c>
      <c r="K23" s="350">
        <f>J23/$K$13</f>
        <v>10045.766666666666</v>
      </c>
      <c r="L23" s="350">
        <f>J23/$L$13</f>
        <v>547.950909090909</v>
      </c>
      <c r="M23" s="350">
        <f>J23/$M$13</f>
        <v>2739.7545454545452</v>
      </c>
      <c r="N23" s="351">
        <f>J23/$N$13</f>
        <v>73.060121212121217</v>
      </c>
    </row>
    <row r="24" spans="1:14">
      <c r="A24" s="357"/>
      <c r="B24" s="347">
        <v>63</v>
      </c>
      <c r="C24" s="358">
        <v>89364</v>
      </c>
      <c r="D24" s="349">
        <v>3147</v>
      </c>
      <c r="E24" s="349">
        <f>C24+D24</f>
        <v>92511</v>
      </c>
      <c r="F24" s="349">
        <f>ROUND(E24*$G$2,0)</f>
        <v>19520</v>
      </c>
      <c r="G24" s="349">
        <f>IF(E24&gt;$L$5,$N$5*(E24-$L$5)+$N$4*($L$5-$L$4)+$N$3*($L$4-$L$1),IF($L$5&gt;E24&gt;$L$4,$N$4*(E24-$L$4)+$N$3*($L$4-$L$1),0))</f>
        <v>11575.302000000001</v>
      </c>
      <c r="H24" s="349">
        <f>E24/100*0.5</f>
        <v>462.555</v>
      </c>
      <c r="I24" s="349">
        <f>F24+G24+H24</f>
        <v>31557.857000000004</v>
      </c>
      <c r="J24" s="349">
        <f>I24+E24</f>
        <v>124068.857</v>
      </c>
      <c r="K24" s="350">
        <f>J24/$K$13</f>
        <v>10339.071416666668</v>
      </c>
      <c r="L24" s="350">
        <f>J24/$L$13</f>
        <v>563.94935</v>
      </c>
      <c r="M24" s="350">
        <f>J24/$M$13</f>
        <v>2819.7467500000002</v>
      </c>
      <c r="N24" s="351">
        <f>J24/$N$13</f>
        <v>75.193246666666667</v>
      </c>
    </row>
    <row r="25" spans="1:14">
      <c r="A25" s="357"/>
      <c r="B25" s="347">
        <v>64</v>
      </c>
      <c r="C25" s="358">
        <v>92040</v>
      </c>
      <c r="D25" s="349">
        <v>3147</v>
      </c>
      <c r="E25" s="349">
        <f>C25+D25</f>
        <v>95187</v>
      </c>
      <c r="F25" s="349">
        <f>ROUND(E25*$G$2,0)</f>
        <v>20084</v>
      </c>
      <c r="G25" s="349">
        <f>IF(E25&gt;$L$5,$N$5*(E25-$L$5)+$N$4*($L$5-$L$4)+$N$3*($L$4-$L$1),IF($L$5&gt;E25&gt;$L$4,$N$4*(E25-$L$4)+$N$3*($L$4-$L$1),0))</f>
        <v>11944.59</v>
      </c>
      <c r="H25" s="349">
        <f>E25/100*0.5</f>
        <v>475.935</v>
      </c>
      <c r="I25" s="349">
        <f>F25+G25+H25</f>
        <v>32504.525</v>
      </c>
      <c r="J25" s="349">
        <f>I25+E25</f>
        <v>127691.525</v>
      </c>
      <c r="K25" s="350">
        <f>J25/$K$13</f>
        <v>10640.960416666667</v>
      </c>
      <c r="L25" s="350">
        <f>J25/$L$13</f>
        <v>580.41602272727266</v>
      </c>
      <c r="M25" s="350">
        <f>J25/$M$13</f>
        <v>2902.0801136363634</v>
      </c>
      <c r="N25" s="351">
        <f>J25/$N$13</f>
        <v>77.388803030303023</v>
      </c>
    </row>
    <row r="26" spans="1:14">
      <c r="A26" s="357"/>
      <c r="B26" s="347">
        <v>65</v>
      </c>
      <c r="C26" s="358">
        <v>94795</v>
      </c>
      <c r="D26" s="349">
        <v>3147</v>
      </c>
      <c r="E26" s="349">
        <f>C26+D26</f>
        <v>97942</v>
      </c>
      <c r="F26" s="349">
        <f>ROUND(E26*$G$2,0)</f>
        <v>20666</v>
      </c>
      <c r="G26" s="349">
        <f>IF(E26&gt;$L$5,$N$5*(E26-$L$5)+$N$4*($L$5-$L$4)+$N$3*($L$4-$L$1),IF($L$5&gt;E26&gt;$L$4,$N$4*(E26-$L$4)+$N$3*($L$4-$L$1),0))</f>
        <v>12324.780000000002</v>
      </c>
      <c r="H26" s="349">
        <f>E26/100*0.5</f>
        <v>489.71</v>
      </c>
      <c r="I26" s="349">
        <f>F26+G26+H26</f>
        <v>33480.49</v>
      </c>
      <c r="J26" s="349">
        <f>I26+E26</f>
        <v>131422.49</v>
      </c>
      <c r="K26" s="350">
        <f>J26/$K$13</f>
        <v>10951.874166666666</v>
      </c>
      <c r="L26" s="350">
        <f>J26/$L$13</f>
        <v>597.37495454545456</v>
      </c>
      <c r="M26" s="350">
        <f>J26/$M$13</f>
        <v>2986.8747727272726</v>
      </c>
      <c r="N26" s="351">
        <f>J26/$N$13</f>
        <v>79.649993939393937</v>
      </c>
    </row>
    <row r="27" spans="1:14">
      <c r="A27" s="357"/>
      <c r="B27" s="347">
        <v>66</v>
      </c>
      <c r="C27" s="358">
        <v>97632</v>
      </c>
      <c r="D27" s="349">
        <v>3147</v>
      </c>
      <c r="E27" s="349">
        <f>C27+D27</f>
        <v>100779</v>
      </c>
      <c r="F27" s="349">
        <f>ROUND(E27*$G$2,0)</f>
        <v>21264</v>
      </c>
      <c r="G27" s="349">
        <f>IF(E27&gt;$L$5,$N$5*(E27-$L$5)+$N$4*($L$5-$L$4)+$N$3*($L$4-$L$1),IF($L$5&gt;E27&gt;$L$4,$N$4*(E27-$L$4)+$N$3*($L$4-$L$1),0))</f>
        <v>12716.286</v>
      </c>
      <c r="H27" s="349">
        <f>E27/100*0.5</f>
        <v>503.895</v>
      </c>
      <c r="I27" s="349">
        <f>F27+G27+H27</f>
        <v>34484.181</v>
      </c>
      <c r="J27" s="349">
        <f>I27+E27</f>
        <v>135263.18099999998</v>
      </c>
      <c r="K27" s="350">
        <f>J27/$K$13</f>
        <v>11271.931749999998</v>
      </c>
      <c r="L27" s="350">
        <f>J27/$L$13</f>
        <v>614.83264090909086</v>
      </c>
      <c r="M27" s="350">
        <f>J27/$M$13</f>
        <v>3074.1632045454539</v>
      </c>
      <c r="N27" s="351">
        <f>J27/$N$13</f>
        <v>81.977685454545437</v>
      </c>
    </row>
    <row r="28" spans="1:14">
      <c r="A28" s="357"/>
      <c r="B28" s="347">
        <v>67</v>
      </c>
      <c r="C28" s="358">
        <v>100558</v>
      </c>
      <c r="D28" s="349">
        <v>3147</v>
      </c>
      <c r="E28" s="349">
        <f>C28+D28</f>
        <v>103705</v>
      </c>
      <c r="F28" s="349">
        <f>ROUND(E28*$G$2,0)</f>
        <v>21882</v>
      </c>
      <c r="G28" s="349">
        <f>IF(E28&gt;$L$5,$N$5*(E28-$L$5)+$N$4*($L$5-$L$4)+$N$3*($L$4-$L$1),IF($L$5&gt;E28&gt;$L$4,$N$4*(E28-$L$4)+$N$3*($L$4-$L$1),0))</f>
        <v>13120.074</v>
      </c>
      <c r="H28" s="349">
        <f>E28/100*0.5</f>
        <v>518.525</v>
      </c>
      <c r="I28" s="349">
        <f>F28+G28+H28</f>
        <v>35520.599</v>
      </c>
      <c r="J28" s="349">
        <f>I28+E28</f>
        <v>139225.599</v>
      </c>
      <c r="K28" s="350">
        <f>J28/$K$13</f>
        <v>11602.133249999999</v>
      </c>
      <c r="L28" s="350">
        <f>J28/$L$13</f>
        <v>632.84363181818173</v>
      </c>
      <c r="M28" s="350">
        <f>J28/$M$13</f>
        <v>3164.218159090909</v>
      </c>
      <c r="N28" s="351">
        <f>J28/$N$13</f>
        <v>84.3791509090909</v>
      </c>
    </row>
    <row r="29" spans="1:14">
      <c r="A29" s="357"/>
      <c r="B29" s="347">
        <v>68</v>
      </c>
      <c r="C29" s="358">
        <v>103569</v>
      </c>
      <c r="D29" s="349">
        <v>3147</v>
      </c>
      <c r="E29" s="349">
        <f>C29+D29</f>
        <v>106716</v>
      </c>
      <c r="F29" s="349">
        <f>ROUND(E29*$G$2,0)</f>
        <v>22517</v>
      </c>
      <c r="G29" s="349">
        <f>IF(E29&gt;$L$5,$N$5*(E29-$L$5)+$N$4*($L$5-$L$4)+$N$3*($L$4-$L$1),IF($L$5&gt;E29&gt;$L$4,$N$4*(E29-$L$4)+$N$3*($L$4-$L$1),0))</f>
        <v>13535.592</v>
      </c>
      <c r="H29" s="349">
        <f>E29/100*0.5</f>
        <v>533.58</v>
      </c>
      <c r="I29" s="349">
        <f>F29+G29+H29</f>
        <v>36586.172000000006</v>
      </c>
      <c r="J29" s="349">
        <f>I29+E29</f>
        <v>143302.17200000002</v>
      </c>
      <c r="K29" s="350">
        <f>J29/$K$13</f>
        <v>11941.847666666668</v>
      </c>
      <c r="L29" s="350">
        <f>J29/$L$13</f>
        <v>651.37350909090924</v>
      </c>
      <c r="M29" s="350">
        <f>J29/$M$13</f>
        <v>3256.867545454546</v>
      </c>
      <c r="N29" s="351">
        <f>J29/$N$13</f>
        <v>86.849801212121221</v>
      </c>
    </row>
    <row r="30" spans="1:14">
      <c r="A30" s="357"/>
      <c r="B30" s="347">
        <v>69</v>
      </c>
      <c r="C30" s="358">
        <v>106671</v>
      </c>
      <c r="D30" s="349">
        <v>3147</v>
      </c>
      <c r="E30" s="349">
        <f>C30+D30</f>
        <v>109818</v>
      </c>
      <c r="F30" s="349">
        <f>ROUND(E30*$G$2,0)</f>
        <v>23172</v>
      </c>
      <c r="G30" s="349">
        <f>IF(E30&gt;$L$5,$N$5*(E30-$L$5)+$N$4*($L$5-$L$4)+$N$3*($L$4-$L$1),IF($L$5&gt;E30&gt;$L$4,$N$4*(E30-$L$4)+$N$3*($L$4-$L$1),0))</f>
        <v>13963.668000000001</v>
      </c>
      <c r="H30" s="349">
        <f>E30/100*0.5</f>
        <v>549.09</v>
      </c>
      <c r="I30" s="349">
        <f>F30+G30+H30</f>
        <v>37684.758</v>
      </c>
      <c r="J30" s="349">
        <f>I30+E30</f>
        <v>147502.758</v>
      </c>
      <c r="K30" s="350">
        <f>J30/$K$13</f>
        <v>12291.8965</v>
      </c>
      <c r="L30" s="350">
        <f>J30/$L$13</f>
        <v>670.46708181818178</v>
      </c>
      <c r="M30" s="350">
        <f>J30/$M$13</f>
        <v>3352.3354090909093</v>
      </c>
      <c r="N30" s="351">
        <f>J30/$N$13</f>
        <v>89.3956109090909</v>
      </c>
    </row>
    <row r="31" spans="1:14">
      <c r="A31" s="357"/>
      <c r="B31" s="347">
        <v>70</v>
      </c>
      <c r="C31" s="358">
        <v>109867</v>
      </c>
      <c r="D31" s="349">
        <v>3147</v>
      </c>
      <c r="E31" s="349">
        <f>C31+D31</f>
        <v>113014</v>
      </c>
      <c r="F31" s="349">
        <f>ROUND(E31*$G$2,0)</f>
        <v>23846</v>
      </c>
      <c r="G31" s="349">
        <f>IF(E31&gt;$L$5,$N$5*(E31-$L$5)+$N$4*($L$5-$L$4)+$N$3*($L$4-$L$1),IF($L$5&gt;E31&gt;$L$4,$N$4*(E31-$L$4)+$N$3*($L$4-$L$1),0))</f>
        <v>14404.716</v>
      </c>
      <c r="H31" s="349">
        <f>E31/100*0.5</f>
        <v>565.07</v>
      </c>
      <c r="I31" s="349">
        <f>F31+G31+H31</f>
        <v>38815.786</v>
      </c>
      <c r="J31" s="349">
        <f>I31+E31</f>
        <v>151829.786</v>
      </c>
      <c r="K31" s="350">
        <f>J31/$K$13</f>
        <v>12652.482166666667</v>
      </c>
      <c r="L31" s="350">
        <f>J31/$L$13</f>
        <v>690.13539090909092</v>
      </c>
      <c r="M31" s="350">
        <f>J31/$M$13</f>
        <v>3450.6769545454545</v>
      </c>
      <c r="N31" s="351">
        <f>J31/$N$13</f>
        <v>92.018052121212122</v>
      </c>
    </row>
    <row r="32" spans="1:14">
      <c r="A32" s="357"/>
      <c r="B32" s="347">
        <v>71</v>
      </c>
      <c r="C32" s="358">
        <v>113157</v>
      </c>
      <c r="D32" s="349">
        <v>3147</v>
      </c>
      <c r="E32" s="349">
        <f>C32+D32</f>
        <v>116304</v>
      </c>
      <c r="F32" s="349">
        <f>ROUND(E32*$G$2,0)</f>
        <v>24540</v>
      </c>
      <c r="G32" s="349">
        <f>IF(E32&gt;$L$5,$N$5*(E32-$L$5)+$N$4*($L$5-$L$4)+$N$3*($L$4-$L$1),IF($L$5&gt;E32&gt;$L$4,$N$4*(E32-$L$4)+$N$3*($L$4-$L$1),0))</f>
        <v>14858.736</v>
      </c>
      <c r="H32" s="349">
        <f>E32/100*0.5</f>
        <v>581.52</v>
      </c>
      <c r="I32" s="349">
        <f>F32+G32+H32</f>
        <v>39980.256</v>
      </c>
      <c r="J32" s="349">
        <f>I32+E32</f>
        <v>156284.256</v>
      </c>
      <c r="K32" s="350">
        <f>J32/$K$13</f>
        <v>13023.688</v>
      </c>
      <c r="L32" s="350">
        <f>J32/$L$13</f>
        <v>710.38298181818175</v>
      </c>
      <c r="M32" s="350">
        <f>J32/$M$13</f>
        <v>3551.9149090909091</v>
      </c>
      <c r="N32" s="351">
        <f>J32/$N$13</f>
        <v>94.7177309090909</v>
      </c>
    </row>
    <row r="33" spans="1:14">
      <c r="A33" s="357"/>
      <c r="B33" s="347">
        <v>72</v>
      </c>
      <c r="C33" s="358">
        <v>116547</v>
      </c>
      <c r="D33" s="349">
        <v>3147</v>
      </c>
      <c r="E33" s="349">
        <f>C33+D33</f>
        <v>119694</v>
      </c>
      <c r="F33" s="349">
        <f>ROUND(E33*$G$2,0)</f>
        <v>25255</v>
      </c>
      <c r="G33" s="349">
        <f>IF(E33&gt;$L$5,$N$5*(E33-$L$5)+$N$4*($L$5-$L$4)+$N$3*($L$4-$L$1),IF($L$5&gt;E33&gt;$L$4,$N$4*(E33-$L$4)+$N$3*($L$4-$L$1),0))</f>
        <v>15326.556</v>
      </c>
      <c r="H33" s="349">
        <f>E33/100*0.5</f>
        <v>598.47</v>
      </c>
      <c r="I33" s="349">
        <f>F33+G33+H33</f>
        <v>41180.026</v>
      </c>
      <c r="J33" s="349">
        <f>I33+E33</f>
        <v>160874.026</v>
      </c>
      <c r="K33" s="350">
        <f>J33/$K$13</f>
        <v>13406.168833333335</v>
      </c>
      <c r="L33" s="350">
        <f>J33/$L$13</f>
        <v>731.24557272727282</v>
      </c>
      <c r="M33" s="350">
        <f>J33/$M$13</f>
        <v>3656.227863636364</v>
      </c>
      <c r="N33" s="351">
        <f>J33/$N$13</f>
        <v>97.4994096969697</v>
      </c>
    </row>
    <row r="34" spans="1:14">
      <c r="A34" s="357"/>
      <c r="B34" s="347">
        <v>73</v>
      </c>
      <c r="C34" s="358">
        <v>120037</v>
      </c>
      <c r="D34" s="349">
        <v>3147</v>
      </c>
      <c r="E34" s="349">
        <f>C34+D34</f>
        <v>123184</v>
      </c>
      <c r="F34" s="349">
        <f>ROUND(E34*$G$2,0)</f>
        <v>25992</v>
      </c>
      <c r="G34" s="349">
        <f>IF(E34&gt;$L$5,$N$5*(E34-$L$5)+$N$4*($L$5-$L$4)+$N$3*($L$4-$L$1),IF($L$5&gt;E34&gt;$L$4,$N$4*(E34-$L$4)+$N$3*($L$4-$L$1),0))</f>
        <v>15808.176000000003</v>
      </c>
      <c r="H34" s="349">
        <f>E34/100*0.5</f>
        <v>615.92</v>
      </c>
      <c r="I34" s="349">
        <f>F34+G34+H34</f>
        <v>42416.096000000005</v>
      </c>
      <c r="J34" s="349">
        <f>I34+E34</f>
        <v>165600.09600000002</v>
      </c>
      <c r="K34" s="350">
        <f>J34/$K$13</f>
        <v>13800.008000000002</v>
      </c>
      <c r="L34" s="350">
        <f>J34/$L$13</f>
        <v>752.72770909090923</v>
      </c>
      <c r="M34" s="350">
        <f>J34/$M$13</f>
        <v>3763.6385454545457</v>
      </c>
      <c r="N34" s="351">
        <f>J34/$N$13</f>
        <v>100.36369454545456</v>
      </c>
    </row>
    <row r="35" spans="1:14">
      <c r="A35" s="357"/>
      <c r="B35" s="347">
        <v>74</v>
      </c>
      <c r="C35" s="358">
        <v>123634</v>
      </c>
      <c r="D35" s="349">
        <v>3147</v>
      </c>
      <c r="E35" s="349">
        <f>C35+D35</f>
        <v>126781</v>
      </c>
      <c r="F35" s="349">
        <f>ROUND(E35*$G$2,0)</f>
        <v>26751</v>
      </c>
      <c r="G35" s="349">
        <f>IF(E35&gt;$L$5,$N$5*(E35-$L$5)+$N$4*($L$5-$L$4)+$N$3*($L$4-$L$1),IF($L$5&gt;E35&gt;$L$4,$N$4*(E35-$L$4)+$N$3*($L$4-$L$1),0))</f>
        <v>16304.562000000002</v>
      </c>
      <c r="H35" s="349">
        <f>E35/100*0.5</f>
        <v>633.905</v>
      </c>
      <c r="I35" s="349">
        <f>F35+G35+H35</f>
        <v>43689.467000000004</v>
      </c>
      <c r="J35" s="349">
        <f>I35+E35</f>
        <v>170470.467</v>
      </c>
      <c r="K35" s="350">
        <f>J35/$K$13</f>
        <v>14205.87225</v>
      </c>
      <c r="L35" s="350">
        <f>J35/$L$13</f>
        <v>774.86575909090914</v>
      </c>
      <c r="M35" s="350">
        <f>J35/$M$13</f>
        <v>3874.3287954545453</v>
      </c>
      <c r="N35" s="351">
        <f>J35/$N$13</f>
        <v>103.31543454545455</v>
      </c>
    </row>
    <row r="36" spans="1:14">
      <c r="A36" s="357"/>
      <c r="B36" s="347">
        <v>75</v>
      </c>
      <c r="C36" s="358">
        <v>127340</v>
      </c>
      <c r="D36" s="349">
        <v>3147</v>
      </c>
      <c r="E36" s="349">
        <f>C36+D36</f>
        <v>130487</v>
      </c>
      <c r="F36" s="349">
        <f>ROUND(E36*$G$2,0)</f>
        <v>27533</v>
      </c>
      <c r="G36" s="349">
        <f>IF(E36&gt;$L$5,$N$5*(E36-$L$5)+$N$4*($L$5-$L$4)+$N$3*($L$4-$L$1),IF($L$5&gt;E36&gt;$L$4,$N$4*(E36-$L$4)+$N$3*($L$4-$L$1),0))</f>
        <v>16815.99</v>
      </c>
      <c r="H36" s="349">
        <f>E36/100*0.5</f>
        <v>652.435</v>
      </c>
      <c r="I36" s="349">
        <f>F36+G36+H36</f>
        <v>45001.425</v>
      </c>
      <c r="J36" s="349">
        <f>I36+E36</f>
        <v>175488.425</v>
      </c>
      <c r="K36" s="350">
        <f>J36/$K$13</f>
        <v>14624.035416666666</v>
      </c>
      <c r="L36" s="350">
        <f>J36/$L$13</f>
        <v>797.674659090909</v>
      </c>
      <c r="M36" s="350">
        <f>J36/$M$13</f>
        <v>3988.3732954545453</v>
      </c>
      <c r="N36" s="351">
        <f>J36/$N$13</f>
        <v>106.35662121212121</v>
      </c>
    </row>
    <row r="37" spans="1:14">
      <c r="A37" s="357"/>
      <c r="B37" s="347">
        <v>76</v>
      </c>
      <c r="C37" s="358">
        <v>131153</v>
      </c>
      <c r="D37" s="349">
        <v>3147</v>
      </c>
      <c r="E37" s="349">
        <f>C37+D37</f>
        <v>134300</v>
      </c>
      <c r="F37" s="349">
        <f>ROUND(E37*$G$2,0)</f>
        <v>28337</v>
      </c>
      <c r="G37" s="349">
        <f>IF(E37&gt;$L$5,$N$5*(E37-$L$5)+$N$4*($L$5-$L$4)+$N$3*($L$4-$L$1),IF($L$5&gt;E37&gt;$L$4,$N$4*(E37-$L$4)+$N$3*($L$4-$L$1),0))</f>
        <v>17342.184</v>
      </c>
      <c r="H37" s="349">
        <f>E37/100*0.5</f>
        <v>671.5</v>
      </c>
      <c r="I37" s="349">
        <f>F37+G37+H37</f>
        <v>46350.684</v>
      </c>
      <c r="J37" s="349">
        <f>I37+E37</f>
        <v>180650.684</v>
      </c>
      <c r="K37" s="350">
        <f>J37/$K$13</f>
        <v>15054.223666666667</v>
      </c>
      <c r="L37" s="350">
        <f>J37/$L$13</f>
        <v>821.13947272727273</v>
      </c>
      <c r="M37" s="350">
        <f>J37/$M$13</f>
        <v>4105.6973636363637</v>
      </c>
      <c r="N37" s="351">
        <f>J37/$N$13</f>
        <v>109.48526303030303</v>
      </c>
    </row>
    <row r="38" spans="1:14">
      <c r="A38" s="357"/>
      <c r="B38" s="347">
        <v>77</v>
      </c>
      <c r="C38" s="358">
        <v>135082</v>
      </c>
      <c r="D38" s="349">
        <v>3147</v>
      </c>
      <c r="E38" s="349">
        <f>C38+D38</f>
        <v>138229</v>
      </c>
      <c r="F38" s="349">
        <f>ROUND(E38*$G$2,0)</f>
        <v>29166</v>
      </c>
      <c r="G38" s="349">
        <f>IF(E38&gt;$L$5,$N$5*(E38-$L$5)+$N$4*($L$5-$L$4)+$N$3*($L$4-$L$1),IF($L$5&gt;E38&gt;$L$4,$N$4*(E38-$L$4)+$N$3*($L$4-$L$1),0))</f>
        <v>17884.386000000002</v>
      </c>
      <c r="H38" s="349">
        <f>E38/100*0.5</f>
        <v>691.145</v>
      </c>
      <c r="I38" s="349">
        <f>F38+G38+H38</f>
        <v>47741.530999999995</v>
      </c>
      <c r="J38" s="349">
        <f>I38+E38</f>
        <v>185970.531</v>
      </c>
      <c r="K38" s="350">
        <f>J38/$K$13</f>
        <v>15497.544249999999</v>
      </c>
      <c r="L38" s="350">
        <f>J38/$L$13</f>
        <v>845.32059545454536</v>
      </c>
      <c r="M38" s="350">
        <f>J38/$M$13</f>
        <v>4226.602977272727</v>
      </c>
      <c r="N38" s="351">
        <f>J38/$N$13</f>
        <v>112.70941272727272</v>
      </c>
    </row>
    <row r="39" spans="1:14">
      <c r="A39" s="357"/>
      <c r="B39" s="347">
        <v>78</v>
      </c>
      <c r="C39" s="358">
        <v>139130</v>
      </c>
      <c r="D39" s="349">
        <v>3147</v>
      </c>
      <c r="E39" s="349">
        <f>C39+D39</f>
        <v>142277</v>
      </c>
      <c r="F39" s="349">
        <f>ROUND(E39*$G$2,0)</f>
        <v>30020</v>
      </c>
      <c r="G39" s="349">
        <f>IF(E39&gt;$L$5,$N$5*(E39-$L$5)+$N$4*($L$5-$L$4)+$N$3*($L$4-$L$1),IF($L$5&gt;E39&gt;$L$4,$N$4*(E39-$L$4)+$N$3*($L$4-$L$1),0))</f>
        <v>18443.010000000002</v>
      </c>
      <c r="H39" s="349">
        <f>E39/100*0.5</f>
        <v>711.385</v>
      </c>
      <c r="I39" s="349">
        <f>F39+G39+H39</f>
        <v>49174.395000000004</v>
      </c>
      <c r="J39" s="349">
        <f>I39+E39</f>
        <v>191451.39500000002</v>
      </c>
      <c r="K39" s="350">
        <f>J39/$K$13</f>
        <v>15954.282916666669</v>
      </c>
      <c r="L39" s="350">
        <f>J39/$L$13</f>
        <v>870.23361363636377</v>
      </c>
      <c r="M39" s="350">
        <f>J39/$M$13</f>
        <v>4351.1680681818189</v>
      </c>
      <c r="N39" s="351">
        <f>J39/$N$13</f>
        <v>116.0311484848485</v>
      </c>
    </row>
    <row r="40" spans="1:14">
      <c r="A40" s="357"/>
      <c r="B40" s="347">
        <v>79</v>
      </c>
      <c r="C40" s="358">
        <v>143299</v>
      </c>
      <c r="D40" s="349">
        <v>3147</v>
      </c>
      <c r="E40" s="349">
        <f>C40+D40</f>
        <v>146446</v>
      </c>
      <c r="F40" s="349">
        <f>ROUND(E40*$G$2,0)</f>
        <v>30900</v>
      </c>
      <c r="G40" s="349">
        <f>IF(E40&gt;$L$5,$N$5*(E40-$L$5)+$N$4*($L$5-$L$4)+$N$3*($L$4-$L$1),IF($L$5&gt;E40&gt;$L$4,$N$4*(E40-$L$4)+$N$3*($L$4-$L$1),0))</f>
        <v>19018.332000000002</v>
      </c>
      <c r="H40" s="349">
        <f>E40/100*0.5</f>
        <v>732.23</v>
      </c>
      <c r="I40" s="349">
        <f>F40+G40+H40</f>
        <v>50650.562000000005</v>
      </c>
      <c r="J40" s="349">
        <f>I40+E40</f>
        <v>197096.562</v>
      </c>
      <c r="K40" s="350">
        <f>J40/$K$13</f>
        <v>16424.7135</v>
      </c>
      <c r="L40" s="350">
        <f>J40/$L$13</f>
        <v>895.89346363636366</v>
      </c>
      <c r="M40" s="350">
        <f>J40/$M$13</f>
        <v>4479.467318181818</v>
      </c>
      <c r="N40" s="351">
        <f>J40/$N$13</f>
        <v>119.45246181818182</v>
      </c>
    </row>
    <row r="41" spans="1:14" ht="13.5" thickBot="1">
      <c r="A41" s="359"/>
      <c r="B41" s="354">
        <v>80</v>
      </c>
      <c r="C41" s="358">
        <v>147595</v>
      </c>
      <c r="D41" s="349">
        <v>3147</v>
      </c>
      <c r="E41" s="349">
        <f>C41+D41</f>
        <v>150742</v>
      </c>
      <c r="F41" s="349">
        <f>ROUND(E41*$G$2,0)</f>
        <v>31807</v>
      </c>
      <c r="G41" s="349">
        <f>IF(E41&gt;$L$5,$N$5*(E41-$L$5)+$N$4*($L$5-$L$4)+$N$3*($L$4-$L$1),IF($L$5&gt;E41&gt;$L$4,$N$4*(E41-$L$4)+$N$3*($L$4-$L$1),0))</f>
        <v>19611.18</v>
      </c>
      <c r="H41" s="349">
        <f>E41/100*0.5</f>
        <v>753.71</v>
      </c>
      <c r="I41" s="349">
        <f>F41+G41+H41</f>
        <v>52171.89</v>
      </c>
      <c r="J41" s="349">
        <f>I41+E41</f>
        <v>202913.89</v>
      </c>
      <c r="K41" s="350">
        <f>J41/$K$13</f>
        <v>16909.490833333333</v>
      </c>
      <c r="L41" s="350">
        <f>J41/$L$13</f>
        <v>922.33586363636368</v>
      </c>
      <c r="M41" s="350">
        <f>J41/$M$13</f>
        <v>4611.6793181818184</v>
      </c>
      <c r="N41" s="351">
        <f>J41/$N$13</f>
        <v>122.97811515151515</v>
      </c>
    </row>
  </sheetData>
  <mergeCells count="2">
    <mergeCell ref="F12:I12"/>
    <mergeCell ref="A14:A32"/>
  </mergeCells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SGUL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Licenced User</dc:creator>
  <cp:keywords/>
  <cp:lastModifiedBy>Molly Raymer</cp:lastModifiedBy>
  <dcterms:created xsi:type="dcterms:W3CDTF">2013-03-04T10:13:56Z</dcterms:created>
  <dcterms:modified xsi:type="dcterms:W3CDTF">2022-09-02T14:56:45Z</dcterms:modified>
  <dc:subject/>
  <cp:lastPrinted>2018-02-20T10:19:24Z</cp:lastPrinted>
  <dc:title>Appendix A3 Course costing template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